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3.xml" ContentType="application/vnd.openxmlformats-officedocument.drawing+xml"/>
  <Override PartName="/xl/charts/chart19.xml" ContentType="application/vnd.openxmlformats-officedocument.drawingml.chart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jroe\Documents\"/>
    </mc:Choice>
  </mc:AlternateContent>
  <xr:revisionPtr revIDLastSave="0" documentId="8_{976D638A-9662-4842-811F-2B00D987CF83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Average" sheetId="11" r:id="rId1"/>
    <sheet name="Process Behav Template" sheetId="22" r:id="rId2"/>
    <sheet name="Fire Rates" sheetId="4" r:id="rId3"/>
    <sheet name="Scatterplot" sheetId="1" r:id="rId4"/>
    <sheet name="Scatterplot (2)" sheetId="5" r:id="rId5"/>
    <sheet name="TREND" sheetId="7" r:id="rId6"/>
    <sheet name="Forecasting 1" sheetId="3" r:id="rId7"/>
    <sheet name="Forecasting 2" sheetId="9" r:id="rId8"/>
    <sheet name="Durham Sales Tax" sheetId="25" r:id="rId9"/>
    <sheet name="Random" sheetId="12" r:id="rId10"/>
    <sheet name="CapitalBudget" sheetId="20" r:id="rId11"/>
    <sheet name="Recreation" sheetId="16" r:id="rId12"/>
    <sheet name="7.S2 Search&amp;Rescue" sheetId="23" r:id="rId13"/>
    <sheet name="Inflation" sheetId="13" r:id="rId14"/>
    <sheet name="Inflation (2)" sheetId="14" r:id="rId15"/>
    <sheet name="Inflation (3)" sheetId="19" r:id="rId16"/>
    <sheet name="Simple Sensitivity" sheetId="21" r:id="rId17"/>
    <sheet name="Budget-WhatIf" sheetId="15" r:id="rId18"/>
  </sheets>
  <externalReferences>
    <externalReference r:id="rId19"/>
    <externalReference r:id="rId20"/>
    <externalReference r:id="rId21"/>
  </externalReferences>
  <definedNames>
    <definedName name="__123Graph_A" hidden="1">[1]Intro!$M$26:$M$66</definedName>
    <definedName name="__123Graph_AFNTPOP" hidden="1">[1]Intro!$O$86:$O$126</definedName>
    <definedName name="__123Graph_AFNTQUE" hidden="1">[1]Intro!$AJ$65:$AJ$105</definedName>
    <definedName name="__123Graph_AMMS" hidden="1">[1]Intro!$M$26:$M$66</definedName>
    <definedName name="__123Graph_X" hidden="1">[1]Intro!$K$26:$K$66</definedName>
    <definedName name="__123Graph_XFNTPOP" hidden="1">[1]Intro!$M$86:$M$126</definedName>
    <definedName name="__123Graph_XFNTQUE" hidden="1">[1]Intro!$AI$65:$AI$105</definedName>
    <definedName name="__123Graph_XMMS" hidden="1">[1]Intro!$K$26:$K$66</definedName>
    <definedName name="anscount" hidden="1">1</definedName>
    <definedName name="Avg">OFFSET('Process Behav Template'!$G$6,0,0,Records,1)</definedName>
    <definedName name="BalanceCum3">#REF!</definedName>
    <definedName name="BudgetCap">CapitalBudget!$I$34</definedName>
    <definedName name="Build?">CapitalBudget!$H$11:$H$30</definedName>
    <definedName name="ExpGrowth" localSheetId="8">#REF!</definedName>
    <definedName name="ExpGrowth">'Budget-WhatIf'!$C$16</definedName>
    <definedName name="FieldLimit">Recreation!$B$12</definedName>
    <definedName name="Fields">Recreation!$B$9:$B$10</definedName>
    <definedName name="FieldTotal">Recreation!$B$11</definedName>
    <definedName name="IMRData">OFFSET('Process Behav Template'!$B$6,0,0,Records,1)</definedName>
    <definedName name="KidsPlaying">Recreation!$F$11</definedName>
    <definedName name="LCL">OFFSET('Process Behav Template'!$H$6,0,0,Records,1)</definedName>
    <definedName name="limcount" hidden="1">1</definedName>
    <definedName name="Marker">OFFSET('Process Behav Template'!$R$6,0,0,Records,1)</definedName>
    <definedName name="MaxResponseTime">'[2]Fire Stations'!$B$21</definedName>
    <definedName name="Needed">'7.S2 Search&amp;Rescue'!$AQ$5:$AQ$41</definedName>
    <definedName name="pcts">OFFSET('[3]Pct Increment'!#REF!,'[3]Pct Increment'!$A$16-1,0,1,6)</definedName>
    <definedName name="Period">OFFSET('Process Behav Template'!$A$6,0,0,Records,1)</definedName>
    <definedName name="_xlnm.Print_Area" localSheetId="2">'Fire Rates'!$B$1:$O$20</definedName>
    <definedName name="_xlnm.Print_Area" localSheetId="6">'Forecasting 1'!$B$1:$K$36</definedName>
    <definedName name="_xlnm.Print_Area" localSheetId="7">'Forecasting 2'!$B$1:$K$40</definedName>
    <definedName name="_xlnm.Print_Area" localSheetId="5">TREND!$A$1:$J$23</definedName>
    <definedName name="ProjectsNeed">CapitalBudget!$C$34:$F$34</definedName>
    <definedName name="ProjectsSelected">CapitalBudget!$C$32:$F$32</definedName>
    <definedName name="Range">OFFSET('Process Behav Template'!$D$6,0,0,Records,1)</definedName>
    <definedName name="RangeAvg">OFFSET('Process Behav Template'!$E$6,0,0,Records,1)</definedName>
    <definedName name="Records">COUNT('Process Behav Template'!$B$6:$B$105)</definedName>
    <definedName name="RefLimit">Recreation!$D$12</definedName>
    <definedName name="RefTotal">Recreation!$D$11</definedName>
    <definedName name="RevGrowth" localSheetId="8">#REF!</definedName>
    <definedName name="RevGrowth">'Budget-WhatIf'!$C$6</definedName>
    <definedName name="sencount" hidden="1">3</definedName>
    <definedName name="sencount2" hidden="1">3</definedName>
    <definedName name="solver_adj" localSheetId="12" hidden="1">'7.S2 Search&amp;Rescue'!$D$44:$AN$44</definedName>
    <definedName name="solver_adj" localSheetId="10" hidden="1">CapitalBudget!$H$11:$H$30</definedName>
    <definedName name="solver_adj" localSheetId="11" hidden="1">Recreation!$B$9:$B$10</definedName>
    <definedName name="solver_cvg" localSheetId="12" hidden="1">0.0001</definedName>
    <definedName name="solver_cvg" localSheetId="10" hidden="1">0.0001</definedName>
    <definedName name="solver_cvg" localSheetId="11" hidden="1">0.0001</definedName>
    <definedName name="solver_drv" localSheetId="12" hidden="1">1</definedName>
    <definedName name="solver_drv" localSheetId="10" hidden="1">1</definedName>
    <definedName name="solver_drv" localSheetId="11" hidden="1">1</definedName>
    <definedName name="solver_eng" localSheetId="10" hidden="1">2</definedName>
    <definedName name="solver_est" localSheetId="12" hidden="1">1</definedName>
    <definedName name="solver_est" localSheetId="10" hidden="1">1</definedName>
    <definedName name="solver_est" localSheetId="11" hidden="1">1</definedName>
    <definedName name="solver_itr" localSheetId="12" hidden="1">100</definedName>
    <definedName name="solver_itr" localSheetId="10" hidden="1">100</definedName>
    <definedName name="solver_itr" localSheetId="11" hidden="1">100</definedName>
    <definedName name="solver_lhs1" localSheetId="12" hidden="1">'7.S2 Search&amp;Rescue'!$D$44:$AN$44</definedName>
    <definedName name="solver_lhs1" localSheetId="10" hidden="1">CapitalBudget!$C$32:$F$32</definedName>
    <definedName name="solver_lhs1" localSheetId="11" hidden="1">Recreation!$B$11</definedName>
    <definedName name="solver_lhs2" localSheetId="12" hidden="1">'7.S2 Search&amp;Rescue'!$AO$5:$AO$41</definedName>
    <definedName name="solver_lhs2" localSheetId="10" hidden="1">CapitalBudget!$H$11:$H$30</definedName>
    <definedName name="solver_lhs2" localSheetId="11" hidden="1">Recreation!$D$11</definedName>
    <definedName name="solver_lhs3" localSheetId="12" hidden="1">'7.S2 Search&amp;Rescue'!$O$44</definedName>
    <definedName name="solver_lhs3" localSheetId="10" hidden="1">CapitalBudget!$I$32</definedName>
    <definedName name="solver_lhs3" localSheetId="11" hidden="1">Recreation!$B$9:$B$10</definedName>
    <definedName name="solver_lhs4" localSheetId="12" hidden="1">'7.S2 Search&amp;Rescue'!$K$5:$K$22</definedName>
    <definedName name="solver_lhs4" localSheetId="11" hidden="1">Recreation!$B$9:$B$10</definedName>
    <definedName name="solver_lin" localSheetId="12" hidden="1">1</definedName>
    <definedName name="solver_lin" localSheetId="10" hidden="1">1</definedName>
    <definedName name="solver_lin" localSheetId="11" hidden="1">2</definedName>
    <definedName name="solver_neg" localSheetId="12" hidden="1">1</definedName>
    <definedName name="solver_neg" localSheetId="10" hidden="1">1</definedName>
    <definedName name="solver_neg" localSheetId="11" hidden="1">2</definedName>
    <definedName name="solver_num" localSheetId="12" hidden="1">2</definedName>
    <definedName name="solver_num" localSheetId="10" hidden="1">3</definedName>
    <definedName name="solver_num" localSheetId="11" hidden="1">3</definedName>
    <definedName name="solver_nwt" localSheetId="12" hidden="1">1</definedName>
    <definedName name="solver_nwt" localSheetId="10" hidden="1">1</definedName>
    <definedName name="solver_nwt" localSheetId="11" hidden="1">1</definedName>
    <definedName name="solver_opt" localSheetId="12" hidden="1">'7.S2 Search&amp;Rescue'!$AQ$44</definedName>
    <definedName name="solver_opt" localSheetId="10" hidden="1">CapitalBudget!$G$36</definedName>
    <definedName name="solver_opt" localSheetId="11" hidden="1">Recreation!$F$11</definedName>
    <definedName name="solver_pre" localSheetId="12" hidden="1">0.000001</definedName>
    <definedName name="solver_pre" localSheetId="10" hidden="1">0.000001</definedName>
    <definedName name="solver_pre" localSheetId="11" hidden="1">0.000001</definedName>
    <definedName name="solver_rel1" localSheetId="12" hidden="1">5</definedName>
    <definedName name="solver_rel1" localSheetId="10" hidden="1">3</definedName>
    <definedName name="solver_rel1" localSheetId="11" hidden="1">1</definedName>
    <definedName name="solver_rel2" localSheetId="12" hidden="1">3</definedName>
    <definedName name="solver_rel2" localSheetId="10" hidden="1">5</definedName>
    <definedName name="solver_rel2" localSheetId="11" hidden="1">1</definedName>
    <definedName name="solver_rel3" localSheetId="12" hidden="1">2</definedName>
    <definedName name="solver_rel3" localSheetId="10" hidden="1">1</definedName>
    <definedName name="solver_rel3" localSheetId="11" hidden="1">3</definedName>
    <definedName name="solver_rel4" localSheetId="12" hidden="1">5</definedName>
    <definedName name="solver_rel4" localSheetId="11" hidden="1">4</definedName>
    <definedName name="solver_rhs1" localSheetId="12" hidden="1">binary</definedName>
    <definedName name="solver_rhs1" localSheetId="10" hidden="1">ProjectsNeed</definedName>
    <definedName name="solver_rhs1" localSheetId="11" hidden="1">Recreation!$B$12</definedName>
    <definedName name="solver_rhs2" localSheetId="12" hidden="1">'7.S2 Search&amp;Rescue'!$AQ$5:$AQ$41</definedName>
    <definedName name="solver_rhs2" localSheetId="10" hidden="1">binary</definedName>
    <definedName name="solver_rhs2" localSheetId="11" hidden="1">Recreation!$D$12</definedName>
    <definedName name="solver_rhs3" localSheetId="12" hidden="1">1</definedName>
    <definedName name="solver_rhs3" localSheetId="10" hidden="1">BudgetCap</definedName>
    <definedName name="solver_rhs3" localSheetId="11" hidden="1">0</definedName>
    <definedName name="solver_rhs4" localSheetId="12" hidden="1">binary</definedName>
    <definedName name="solver_rhs4" localSheetId="11" hidden="1">integer</definedName>
    <definedName name="solver_scl" localSheetId="12" hidden="1">2</definedName>
    <definedName name="solver_scl" localSheetId="10" hidden="1">2</definedName>
    <definedName name="solver_scl" localSheetId="11" hidden="1">2</definedName>
    <definedName name="solver_sho" localSheetId="12" hidden="1">2</definedName>
    <definedName name="solver_sho" localSheetId="10" hidden="1">2</definedName>
    <definedName name="solver_sho" localSheetId="11" hidden="1">2</definedName>
    <definedName name="solver_tim" localSheetId="12" hidden="1">100</definedName>
    <definedName name="solver_tim" localSheetId="10" hidden="1">100</definedName>
    <definedName name="solver_tim" localSheetId="11" hidden="1">100</definedName>
    <definedName name="solver_tol" localSheetId="12" hidden="1">0.01</definedName>
    <definedName name="solver_tol" localSheetId="10" hidden="1">0.05</definedName>
    <definedName name="solver_tol" localSheetId="11" hidden="1">0.05</definedName>
    <definedName name="solver_typ" localSheetId="12" hidden="1">2</definedName>
    <definedName name="solver_typ" localSheetId="10" hidden="1">1</definedName>
    <definedName name="solver_typ" localSheetId="11" hidden="1">1</definedName>
    <definedName name="solver_val" localSheetId="12" hidden="1">0</definedName>
    <definedName name="solver_val" localSheetId="10" hidden="1">0</definedName>
    <definedName name="solver_val" localSheetId="11" hidden="1">0</definedName>
    <definedName name="solver_ver" localSheetId="10" hidden="1">3</definedName>
    <definedName name="TaxRate" localSheetId="8">#REF!</definedName>
    <definedName name="TaxRate">'Budget-WhatIf'!$C$7</definedName>
    <definedName name="Team?">'7.S2 Search&amp;Rescue'!$D$44:$AN$44</definedName>
    <definedName name="TeamsNearby">'7.S2 Search&amp;Rescue'!$AO$5:$AO$41</definedName>
    <definedName name="TotalCost">CapitalBudget!$I$32</definedName>
    <definedName name="TotalTeams">'7.S2 Search&amp;Rescue'!$AQ$44</definedName>
    <definedName name="treeList" hidden="1">"11110000000000000000000000000000000000000000000000000000000000000000000000000000000000000000000000000000000000000000000000000000000000000000000000000000000000000000000000000000000000000000000000000000"</definedName>
    <definedName name="UCL">OFFSET('Process Behav Template'!$I$6,0,0,Records,1)</definedName>
    <definedName name="URL">OFFSET('Process Behav Template'!$F$6,0,0,Records,1)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14" l="1"/>
  <c r="I3" i="14"/>
  <c r="H4" i="14"/>
  <c r="I4" i="14"/>
  <c r="H5" i="14"/>
  <c r="I5" i="14"/>
  <c r="H6" i="14"/>
  <c r="I6" i="14"/>
  <c r="H7" i="14"/>
  <c r="I7" i="14"/>
  <c r="H8" i="14"/>
  <c r="I8" i="14"/>
  <c r="H9" i="14"/>
  <c r="I9" i="14"/>
  <c r="H10" i="14"/>
  <c r="I10" i="14"/>
  <c r="H11" i="14"/>
  <c r="I11" i="14"/>
  <c r="H12" i="14"/>
  <c r="I12" i="14"/>
  <c r="H13" i="14"/>
  <c r="I13" i="14"/>
  <c r="H14" i="14"/>
  <c r="I14" i="14"/>
  <c r="H15" i="14"/>
  <c r="I15" i="14"/>
  <c r="H16" i="14"/>
  <c r="I16" i="14"/>
  <c r="H17" i="14"/>
  <c r="I17" i="14"/>
  <c r="H18" i="14"/>
  <c r="I18" i="14"/>
  <c r="H19" i="14"/>
  <c r="I19" i="14"/>
  <c r="H20" i="14"/>
  <c r="I20" i="14"/>
  <c r="H21" i="14"/>
  <c r="I21" i="14"/>
  <c r="H22" i="14"/>
  <c r="I22" i="14"/>
  <c r="H23" i="14"/>
  <c r="I23" i="14"/>
  <c r="H24" i="14"/>
  <c r="I24" i="14"/>
  <c r="H25" i="14"/>
  <c r="I25" i="14"/>
  <c r="H26" i="14"/>
  <c r="I26" i="14"/>
  <c r="H27" i="14"/>
  <c r="I27" i="14"/>
  <c r="H28" i="14"/>
  <c r="I28" i="14"/>
  <c r="H29" i="14"/>
  <c r="I29" i="14"/>
  <c r="H30" i="14"/>
  <c r="I30" i="14"/>
  <c r="H31" i="14"/>
  <c r="I31" i="14"/>
  <c r="H32" i="14"/>
  <c r="I32" i="14"/>
  <c r="H33" i="14"/>
  <c r="I33" i="14"/>
  <c r="H34" i="14"/>
  <c r="I34" i="14"/>
  <c r="H35" i="14"/>
  <c r="I35" i="14"/>
  <c r="H36" i="14"/>
  <c r="I36" i="14"/>
  <c r="I2" i="14"/>
  <c r="H2" i="14"/>
  <c r="M27" i="19"/>
  <c r="M26" i="19"/>
  <c r="M25" i="19"/>
  <c r="M24" i="19"/>
  <c r="M23" i="19"/>
  <c r="M22" i="19"/>
  <c r="M21" i="19"/>
  <c r="M20" i="19"/>
  <c r="M19" i="19"/>
  <c r="M18" i="19"/>
  <c r="M17" i="19"/>
  <c r="M16" i="19"/>
  <c r="M15" i="19"/>
  <c r="M14" i="19"/>
  <c r="M13" i="19"/>
  <c r="M11" i="19"/>
  <c r="M10" i="19"/>
  <c r="M9" i="19"/>
  <c r="M8" i="19"/>
  <c r="M7" i="19"/>
  <c r="M6" i="19"/>
  <c r="M5" i="19"/>
  <c r="M4" i="19"/>
  <c r="M3" i="19"/>
  <c r="M12" i="19"/>
  <c r="D27" i="13"/>
  <c r="D26" i="13"/>
  <c r="D25" i="13"/>
  <c r="D24" i="13"/>
  <c r="D23" i="13"/>
  <c r="G27" i="19"/>
  <c r="D27" i="19"/>
  <c r="G26" i="19"/>
  <c r="D26" i="19"/>
  <c r="G25" i="19"/>
  <c r="D25" i="19"/>
  <c r="G24" i="19"/>
  <c r="D24" i="19"/>
  <c r="G23" i="19"/>
  <c r="D23" i="19"/>
  <c r="F32" i="14"/>
  <c r="F33" i="14"/>
  <c r="F34" i="14"/>
  <c r="F35" i="14"/>
  <c r="F36" i="14"/>
  <c r="E32" i="14"/>
  <c r="E33" i="14"/>
  <c r="E34" i="14"/>
  <c r="E35" i="14"/>
  <c r="E36" i="14"/>
  <c r="E13" i="11"/>
  <c r="L12" i="11"/>
  <c r="L8" i="11" a="1"/>
  <c r="L8" i="11" s="1"/>
  <c r="B62" i="25"/>
  <c r="B50" i="25"/>
  <c r="B43" i="25"/>
  <c r="B39" i="25"/>
  <c r="B38" i="25"/>
  <c r="B31" i="25"/>
  <c r="B27" i="25"/>
  <c r="B26" i="25"/>
  <c r="B25" i="25"/>
  <c r="B37" i="25" s="1"/>
  <c r="B24" i="25"/>
  <c r="B36" i="25" s="1"/>
  <c r="B23" i="25"/>
  <c r="B35" i="25" s="1"/>
  <c r="B22" i="25"/>
  <c r="B34" i="25" s="1"/>
  <c r="B46" i="25" s="1"/>
  <c r="B58" i="25" s="1"/>
  <c r="B70" i="25" s="1"/>
  <c r="B21" i="25"/>
  <c r="B33" i="25" s="1"/>
  <c r="B20" i="25"/>
  <c r="B32" i="25" s="1"/>
  <c r="B19" i="25"/>
  <c r="B18" i="25"/>
  <c r="B30" i="25" s="1"/>
  <c r="B17" i="25"/>
  <c r="B29" i="25" s="1"/>
  <c r="B16" i="25"/>
  <c r="B28" i="25" s="1"/>
  <c r="A7" i="25"/>
  <c r="A8" i="25" s="1"/>
  <c r="C6" i="25"/>
  <c r="A6" i="25"/>
  <c r="C5" i="25"/>
  <c r="A5" i="25"/>
  <c r="C4" i="25"/>
  <c r="B45" i="25" l="1"/>
  <c r="B82" i="25"/>
  <c r="A9" i="25"/>
  <c r="C8" i="25"/>
  <c r="C7" i="25"/>
  <c r="B74" i="25"/>
  <c r="B47" i="25"/>
  <c r="B40" i="25"/>
  <c r="B49" i="25"/>
  <c r="B41" i="25"/>
  <c r="B51" i="25"/>
  <c r="B42" i="25"/>
  <c r="B55" i="25"/>
  <c r="B48" i="25"/>
  <c r="B44" i="25"/>
  <c r="B86" i="25" l="1"/>
  <c r="B54" i="25"/>
  <c r="B63" i="25"/>
  <c r="B53" i="25"/>
  <c r="B61" i="25"/>
  <c r="A10" i="25"/>
  <c r="C9" i="25"/>
  <c r="B56" i="25"/>
  <c r="B52" i="25"/>
  <c r="B60" i="25"/>
  <c r="B57" i="25"/>
  <c r="B67" i="25"/>
  <c r="B59" i="25"/>
  <c r="B71" i="25" l="1"/>
  <c r="A11" i="25"/>
  <c r="C10" i="25"/>
  <c r="B79" i="25"/>
  <c r="B69" i="25"/>
  <c r="B73" i="25"/>
  <c r="B65" i="25"/>
  <c r="B72" i="25"/>
  <c r="B75" i="25"/>
  <c r="B64" i="25"/>
  <c r="B66" i="25"/>
  <c r="B68" i="25"/>
  <c r="B84" i="25" l="1"/>
  <c r="B83" i="25"/>
  <c r="B77" i="25"/>
  <c r="B80" i="25"/>
  <c r="B85" i="25"/>
  <c r="B78" i="25"/>
  <c r="B81" i="25"/>
  <c r="B76" i="25"/>
  <c r="B87" i="25"/>
  <c r="A12" i="25"/>
  <c r="C11" i="25"/>
  <c r="A13" i="25" l="1"/>
  <c r="C12" i="25"/>
  <c r="B89" i="25"/>
  <c r="B88" i="25"/>
  <c r="A14" i="25" l="1"/>
  <c r="C13" i="25"/>
  <c r="A15" i="25" l="1"/>
  <c r="C14" i="25"/>
  <c r="A16" i="25" l="1"/>
  <c r="C15" i="25"/>
  <c r="C16" i="25" l="1"/>
  <c r="A17" i="25"/>
  <c r="A18" i="25" l="1"/>
  <c r="C17" i="25"/>
  <c r="A19" i="25" l="1"/>
  <c r="C18" i="25"/>
  <c r="A20" i="25" l="1"/>
  <c r="C19" i="25"/>
  <c r="C20" i="25" l="1"/>
  <c r="A21" i="25"/>
  <c r="A22" i="25" l="1"/>
  <c r="C21" i="25"/>
  <c r="A23" i="25" l="1"/>
  <c r="C22" i="25"/>
  <c r="A24" i="25" l="1"/>
  <c r="C23" i="25"/>
  <c r="C24" i="25" l="1"/>
  <c r="A25" i="25"/>
  <c r="C25" i="25" l="1"/>
  <c r="A26" i="25"/>
  <c r="A27" i="25" l="1"/>
  <c r="C26" i="25"/>
  <c r="C27" i="25" l="1"/>
  <c r="A28" i="25"/>
  <c r="C28" i="25" l="1"/>
  <c r="A29" i="25"/>
  <c r="C29" i="25" l="1"/>
  <c r="A30" i="25"/>
  <c r="C30" i="25" l="1"/>
  <c r="A31" i="25"/>
  <c r="C31" i="25" l="1"/>
  <c r="A32" i="25"/>
  <c r="C32" i="25" l="1"/>
  <c r="A33" i="25"/>
  <c r="C33" i="25" l="1"/>
  <c r="A34" i="25"/>
  <c r="C34" i="25" l="1"/>
  <c r="A35" i="25"/>
  <c r="C35" i="25" l="1"/>
  <c r="A36" i="25"/>
  <c r="C36" i="25" l="1"/>
  <c r="A37" i="25"/>
  <c r="C37" i="25" l="1"/>
  <c r="A38" i="25"/>
  <c r="C38" i="25" l="1"/>
  <c r="A39" i="25"/>
  <c r="C39" i="25" l="1"/>
  <c r="A40" i="25"/>
  <c r="C40" i="25" l="1"/>
  <c r="A41" i="25"/>
  <c r="C41" i="25" l="1"/>
  <c r="A42" i="25"/>
  <c r="C42" i="25" l="1"/>
  <c r="A43" i="25"/>
  <c r="C43" i="25" l="1"/>
  <c r="A44" i="25"/>
  <c r="C44" i="25" l="1"/>
  <c r="A45" i="25"/>
  <c r="A46" i="25" l="1"/>
  <c r="C45" i="25"/>
  <c r="C46" i="25" l="1"/>
  <c r="A47" i="25"/>
  <c r="C47" i="25" l="1"/>
  <c r="A48" i="25"/>
  <c r="C48" i="25" l="1"/>
  <c r="A49" i="25"/>
  <c r="C49" i="25" l="1"/>
  <c r="A50" i="25"/>
  <c r="C50" i="25" l="1"/>
  <c r="A51" i="25"/>
  <c r="C51" i="25" l="1"/>
  <c r="A52" i="25"/>
  <c r="C52" i="25" l="1"/>
  <c r="A53" i="25"/>
  <c r="C53" i="25" l="1"/>
  <c r="A54" i="25"/>
  <c r="C54" i="25" l="1"/>
  <c r="A55" i="25"/>
  <c r="C55" i="25" l="1"/>
  <c r="A56" i="25"/>
  <c r="C56" i="25" l="1"/>
  <c r="A57" i="25"/>
  <c r="A58" i="25" l="1"/>
  <c r="C57" i="25"/>
  <c r="C58" i="25" l="1"/>
  <c r="A59" i="25"/>
  <c r="C59" i="25" l="1"/>
  <c r="A60" i="25"/>
  <c r="C60" i="25" l="1"/>
  <c r="A61" i="25"/>
  <c r="C61" i="25" l="1"/>
  <c r="A62" i="25"/>
  <c r="C62" i="25" l="1"/>
  <c r="A63" i="25"/>
  <c r="C63" i="25" l="1"/>
  <c r="A64" i="25"/>
  <c r="C64" i="25" l="1"/>
  <c r="A65" i="25"/>
  <c r="C65" i="25" l="1"/>
  <c r="A66" i="25"/>
  <c r="C66" i="25" l="1"/>
  <c r="A67" i="25"/>
  <c r="C67" i="25" l="1"/>
  <c r="A68" i="25"/>
  <c r="C68" i="25" l="1"/>
  <c r="A69" i="25"/>
  <c r="C69" i="25" l="1"/>
  <c r="A70" i="25"/>
  <c r="C70" i="25" l="1"/>
  <c r="A71" i="25"/>
  <c r="C71" i="25" l="1"/>
  <c r="A72" i="25"/>
  <c r="C72" i="25" l="1"/>
  <c r="A73" i="25"/>
  <c r="C73" i="25" l="1"/>
  <c r="A74" i="25"/>
  <c r="C74" i="25" l="1"/>
  <c r="A75" i="25"/>
  <c r="C75" i="25" l="1"/>
  <c r="A76" i="25"/>
  <c r="C76" i="25" l="1"/>
  <c r="A77" i="25"/>
  <c r="C77" i="25" l="1"/>
  <c r="A78" i="25"/>
  <c r="C78" i="25" l="1"/>
  <c r="A79" i="25"/>
  <c r="C79" i="25" l="1"/>
  <c r="A80" i="25"/>
  <c r="C80" i="25" l="1"/>
  <c r="A81" i="25"/>
  <c r="C81" i="25" l="1"/>
  <c r="A82" i="25"/>
  <c r="C82" i="25" l="1"/>
  <c r="A83" i="25"/>
  <c r="C83" i="25" l="1"/>
  <c r="A84" i="25"/>
  <c r="C84" i="25" l="1"/>
  <c r="A85" i="25"/>
  <c r="C85" i="25" l="1"/>
  <c r="A86" i="25"/>
  <c r="C86" i="25" l="1"/>
  <c r="A87" i="25"/>
  <c r="C87" i="25" l="1"/>
  <c r="A88" i="25"/>
  <c r="C88" i="25" l="1"/>
  <c r="A89" i="25"/>
  <c r="C89" i="25" s="1"/>
  <c r="G22" i="19" l="1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G7" i="19"/>
  <c r="G6" i="19"/>
  <c r="G5" i="19"/>
  <c r="G4" i="19"/>
  <c r="G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8" i="19"/>
  <c r="D7" i="19"/>
  <c r="D6" i="19"/>
  <c r="D5" i="19"/>
  <c r="D4" i="19"/>
  <c r="D3" i="19"/>
  <c r="F31" i="14"/>
  <c r="E31" i="14"/>
  <c r="F30" i="14"/>
  <c r="E30" i="14"/>
  <c r="F29" i="14"/>
  <c r="E29" i="14"/>
  <c r="F28" i="14"/>
  <c r="E28" i="14"/>
  <c r="F27" i="14"/>
  <c r="E27" i="14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D7" i="13"/>
  <c r="D6" i="13"/>
  <c r="D5" i="13"/>
  <c r="D4" i="13"/>
  <c r="D3" i="13"/>
  <c r="P105" i="22" l="1"/>
  <c r="P104" i="22"/>
  <c r="P103" i="22"/>
  <c r="P102" i="22"/>
  <c r="P101" i="22"/>
  <c r="P100" i="22"/>
  <c r="P99" i="22"/>
  <c r="P98" i="22"/>
  <c r="P97" i="22"/>
  <c r="P96" i="22"/>
  <c r="P95" i="22"/>
  <c r="P94" i="22"/>
  <c r="P93" i="22"/>
  <c r="P92" i="22"/>
  <c r="P91" i="22"/>
  <c r="P90" i="22"/>
  <c r="P89" i="22"/>
  <c r="P88" i="22"/>
  <c r="P87" i="22"/>
  <c r="P86" i="22"/>
  <c r="P85" i="22"/>
  <c r="P84" i="22"/>
  <c r="P83" i="22"/>
  <c r="P82" i="22"/>
  <c r="P81" i="22"/>
  <c r="P80" i="22"/>
  <c r="P79" i="22"/>
  <c r="P78" i="22"/>
  <c r="P77" i="22"/>
  <c r="P76" i="22"/>
  <c r="P75" i="22"/>
  <c r="P74" i="22"/>
  <c r="P73" i="22"/>
  <c r="P72" i="22"/>
  <c r="P71" i="22"/>
  <c r="P70" i="22"/>
  <c r="P69" i="22"/>
  <c r="P68" i="22"/>
  <c r="P67" i="22"/>
  <c r="P66" i="22"/>
  <c r="P65" i="22"/>
  <c r="P64" i="22"/>
  <c r="P63" i="22"/>
  <c r="P62" i="22"/>
  <c r="P61" i="22"/>
  <c r="P60" i="22"/>
  <c r="P59" i="22"/>
  <c r="P58" i="22"/>
  <c r="P57" i="22"/>
  <c r="P56" i="22"/>
  <c r="P55" i="22"/>
  <c r="P54" i="22"/>
  <c r="P53" i="22"/>
  <c r="P52" i="22"/>
  <c r="P51" i="22"/>
  <c r="P50" i="22"/>
  <c r="P49" i="22"/>
  <c r="P48" i="22"/>
  <c r="P47" i="22"/>
  <c r="P46" i="22"/>
  <c r="P45" i="22"/>
  <c r="P44" i="22"/>
  <c r="P43" i="22"/>
  <c r="P42" i="22"/>
  <c r="P41" i="22"/>
  <c r="P40" i="22"/>
  <c r="P39" i="22"/>
  <c r="P38" i="22"/>
  <c r="P37" i="22"/>
  <c r="P36" i="22"/>
  <c r="P35" i="22"/>
  <c r="P34" i="22"/>
  <c r="P33" i="22"/>
  <c r="P32" i="22"/>
  <c r="P31" i="22"/>
  <c r="P30" i="22"/>
  <c r="Q105" i="22" l="1"/>
  <c r="Q104" i="22"/>
  <c r="Q103" i="22"/>
  <c r="Q102" i="22"/>
  <c r="Q101" i="22"/>
  <c r="Q100" i="22"/>
  <c r="Q99" i="22"/>
  <c r="Q98" i="22"/>
  <c r="Q97" i="22"/>
  <c r="Q96" i="22"/>
  <c r="Q95" i="22"/>
  <c r="Q94" i="22"/>
  <c r="Q93" i="22"/>
  <c r="Q92" i="22"/>
  <c r="Q91" i="22"/>
  <c r="Q90" i="22"/>
  <c r="Q89" i="22"/>
  <c r="Q88" i="22"/>
  <c r="Q87" i="22"/>
  <c r="Q86" i="22"/>
  <c r="Q85" i="22"/>
  <c r="Q84" i="22"/>
  <c r="Q83" i="22"/>
  <c r="Q82" i="22"/>
  <c r="Q81" i="22"/>
  <c r="Q80" i="22"/>
  <c r="Q79" i="22"/>
  <c r="Q78" i="22"/>
  <c r="Q77" i="22"/>
  <c r="Q76" i="22"/>
  <c r="Q75" i="22"/>
  <c r="Q74" i="22"/>
  <c r="Q73" i="22"/>
  <c r="Q72" i="22"/>
  <c r="Q71" i="22"/>
  <c r="Q70" i="22"/>
  <c r="Q69" i="22"/>
  <c r="Q68" i="22"/>
  <c r="Q67" i="22"/>
  <c r="Q66" i="22"/>
  <c r="Q65" i="22"/>
  <c r="Q64" i="22"/>
  <c r="Q63" i="22"/>
  <c r="Q62" i="22"/>
  <c r="Q61" i="22"/>
  <c r="Q60" i="22"/>
  <c r="Q59" i="22"/>
  <c r="Q58" i="22"/>
  <c r="Q57" i="22"/>
  <c r="Q56" i="22"/>
  <c r="Q55" i="22"/>
  <c r="Q54" i="22"/>
  <c r="Q53" i="22"/>
  <c r="Q52" i="22"/>
  <c r="Q51" i="22"/>
  <c r="Q50" i="22"/>
  <c r="Q49" i="22"/>
  <c r="Q48" i="22"/>
  <c r="Q47" i="22"/>
  <c r="Q46" i="22"/>
  <c r="Q45" i="22"/>
  <c r="Q44" i="22"/>
  <c r="L105" i="22"/>
  <c r="L104" i="22"/>
  <c r="L103" i="22"/>
  <c r="L102" i="22"/>
  <c r="L101" i="22"/>
  <c r="L100" i="22"/>
  <c r="L99" i="22"/>
  <c r="L98" i="22"/>
  <c r="L97" i="22"/>
  <c r="L96" i="22"/>
  <c r="L95" i="22"/>
  <c r="L94" i="22"/>
  <c r="L93" i="22"/>
  <c r="L92" i="22"/>
  <c r="L91" i="22"/>
  <c r="L90" i="22"/>
  <c r="L89" i="22"/>
  <c r="L88" i="22"/>
  <c r="L87" i="22"/>
  <c r="L86" i="22"/>
  <c r="L85" i="22"/>
  <c r="L84" i="22"/>
  <c r="L83" i="22"/>
  <c r="L82" i="22"/>
  <c r="L81" i="22"/>
  <c r="L80" i="22"/>
  <c r="L79" i="22"/>
  <c r="L78" i="22"/>
  <c r="L77" i="22"/>
  <c r="L76" i="22"/>
  <c r="L75" i="22"/>
  <c r="L74" i="22"/>
  <c r="L73" i="22"/>
  <c r="L72" i="22"/>
  <c r="L71" i="22"/>
  <c r="L70" i="22"/>
  <c r="L69" i="22"/>
  <c r="L68" i="22"/>
  <c r="L67" i="22"/>
  <c r="L66" i="22"/>
  <c r="L65" i="22"/>
  <c r="L64" i="22"/>
  <c r="L63" i="22"/>
  <c r="L62" i="22"/>
  <c r="L61" i="22"/>
  <c r="L60" i="22"/>
  <c r="L59" i="22"/>
  <c r="L58" i="22"/>
  <c r="L57" i="22"/>
  <c r="L56" i="22"/>
  <c r="L55" i="22"/>
  <c r="L54" i="22"/>
  <c r="L53" i="22"/>
  <c r="L52" i="22"/>
  <c r="L51" i="22"/>
  <c r="L50" i="22"/>
  <c r="L49" i="22"/>
  <c r="L48" i="22"/>
  <c r="L47" i="22"/>
  <c r="L46" i="22"/>
  <c r="L45" i="22"/>
  <c r="L44" i="22"/>
  <c r="O105" i="22"/>
  <c r="O104" i="22"/>
  <c r="O103" i="22"/>
  <c r="O102" i="22"/>
  <c r="O101" i="22"/>
  <c r="O100" i="22"/>
  <c r="O99" i="22"/>
  <c r="O98" i="22"/>
  <c r="O97" i="22"/>
  <c r="O96" i="22"/>
  <c r="O95" i="22"/>
  <c r="O94" i="22"/>
  <c r="O93" i="22"/>
  <c r="O92" i="22"/>
  <c r="O91" i="22"/>
  <c r="O90" i="22"/>
  <c r="O89" i="22"/>
  <c r="O88" i="22"/>
  <c r="O87" i="22"/>
  <c r="O86" i="22"/>
  <c r="O85" i="22"/>
  <c r="O84" i="22"/>
  <c r="O83" i="22"/>
  <c r="O82" i="22"/>
  <c r="O81" i="22"/>
  <c r="O80" i="22"/>
  <c r="O79" i="22"/>
  <c r="O78" i="22"/>
  <c r="O77" i="22"/>
  <c r="O76" i="22"/>
  <c r="O75" i="22"/>
  <c r="O74" i="22"/>
  <c r="O73" i="22"/>
  <c r="O72" i="22"/>
  <c r="O71" i="22"/>
  <c r="O70" i="22"/>
  <c r="O69" i="22"/>
  <c r="O68" i="22"/>
  <c r="O67" i="22"/>
  <c r="O66" i="22"/>
  <c r="O65" i="22"/>
  <c r="O64" i="22"/>
  <c r="O63" i="22"/>
  <c r="O62" i="22"/>
  <c r="O61" i="22"/>
  <c r="O60" i="22"/>
  <c r="O59" i="22"/>
  <c r="O58" i="22"/>
  <c r="O57" i="22"/>
  <c r="O56" i="22"/>
  <c r="O55" i="22"/>
  <c r="O54" i="22"/>
  <c r="O53" i="22"/>
  <c r="O52" i="22"/>
  <c r="O51" i="22"/>
  <c r="O50" i="22"/>
  <c r="O49" i="22"/>
  <c r="O48" i="22"/>
  <c r="O47" i="22"/>
  <c r="O46" i="22"/>
  <c r="O45" i="22"/>
  <c r="O44" i="22"/>
  <c r="N105" i="22"/>
  <c r="N104" i="22"/>
  <c r="N103" i="22"/>
  <c r="N102" i="22"/>
  <c r="N101" i="22"/>
  <c r="N100" i="22"/>
  <c r="N99" i="22"/>
  <c r="N98" i="22"/>
  <c r="N97" i="22"/>
  <c r="N96" i="22"/>
  <c r="N95" i="22"/>
  <c r="N94" i="22"/>
  <c r="N93" i="22"/>
  <c r="N92" i="22"/>
  <c r="N91" i="22"/>
  <c r="N90" i="22"/>
  <c r="N89" i="22"/>
  <c r="N88" i="22"/>
  <c r="N87" i="22"/>
  <c r="N86" i="22"/>
  <c r="N85" i="22"/>
  <c r="N84" i="22"/>
  <c r="N83" i="22"/>
  <c r="N82" i="22"/>
  <c r="N81" i="22"/>
  <c r="N80" i="22"/>
  <c r="N79" i="22"/>
  <c r="N78" i="22"/>
  <c r="N77" i="22"/>
  <c r="N76" i="22"/>
  <c r="N75" i="22"/>
  <c r="N74" i="22"/>
  <c r="N73" i="22"/>
  <c r="N72" i="22"/>
  <c r="N71" i="22"/>
  <c r="N70" i="22"/>
  <c r="N69" i="22"/>
  <c r="N68" i="22"/>
  <c r="N67" i="22"/>
  <c r="N66" i="22"/>
  <c r="N65" i="22"/>
  <c r="N64" i="22"/>
  <c r="N63" i="22"/>
  <c r="N62" i="22"/>
  <c r="N61" i="22"/>
  <c r="N60" i="22"/>
  <c r="N59" i="22"/>
  <c r="N58" i="22"/>
  <c r="N57" i="22"/>
  <c r="N56" i="22"/>
  <c r="N55" i="22"/>
  <c r="N54" i="22"/>
  <c r="N53" i="22"/>
  <c r="N52" i="22"/>
  <c r="N51" i="22"/>
  <c r="N50" i="22"/>
  <c r="N49" i="22"/>
  <c r="N48" i="22"/>
  <c r="N47" i="22"/>
  <c r="N46" i="22"/>
  <c r="N45" i="22"/>
  <c r="N44" i="22"/>
  <c r="K44" i="22"/>
  <c r="K45" i="22"/>
  <c r="K46" i="22"/>
  <c r="K47" i="22"/>
  <c r="K48" i="22"/>
  <c r="K49" i="22"/>
  <c r="K50" i="22"/>
  <c r="K51" i="22"/>
  <c r="K52" i="22"/>
  <c r="K53" i="22"/>
  <c r="K54" i="22"/>
  <c r="K55" i="22"/>
  <c r="K56" i="22"/>
  <c r="K57" i="22"/>
  <c r="K58" i="22"/>
  <c r="K59" i="22"/>
  <c r="K60" i="22"/>
  <c r="K61" i="22"/>
  <c r="K62" i="22"/>
  <c r="K63" i="22"/>
  <c r="K64" i="22"/>
  <c r="K65" i="22"/>
  <c r="K66" i="22"/>
  <c r="K67" i="22"/>
  <c r="K68" i="22"/>
  <c r="K69" i="22"/>
  <c r="K70" i="22"/>
  <c r="K71" i="22"/>
  <c r="K72" i="22"/>
  <c r="K73" i="22"/>
  <c r="K74" i="22"/>
  <c r="K75" i="22"/>
  <c r="K76" i="22"/>
  <c r="K77" i="22"/>
  <c r="K78" i="22"/>
  <c r="K79" i="22"/>
  <c r="K80" i="22"/>
  <c r="K81" i="22"/>
  <c r="K82" i="22"/>
  <c r="K83" i="22"/>
  <c r="K84" i="22"/>
  <c r="K85" i="22"/>
  <c r="K86" i="22"/>
  <c r="K87" i="22"/>
  <c r="K88" i="22"/>
  <c r="K89" i="22"/>
  <c r="K90" i="22"/>
  <c r="K91" i="22"/>
  <c r="K92" i="22"/>
  <c r="K93" i="22"/>
  <c r="K94" i="22"/>
  <c r="K95" i="22"/>
  <c r="K96" i="22"/>
  <c r="K97" i="22"/>
  <c r="K98" i="22"/>
  <c r="K99" i="22"/>
  <c r="K100" i="22"/>
  <c r="K101" i="22"/>
  <c r="K102" i="22"/>
  <c r="K103" i="22"/>
  <c r="K104" i="22"/>
  <c r="K105" i="22"/>
  <c r="AV97" i="23" l="1"/>
  <c r="AV96" i="23"/>
  <c r="AV95" i="23"/>
  <c r="AV94" i="23"/>
  <c r="AV93" i="23"/>
  <c r="AV92" i="23"/>
  <c r="AV91" i="23"/>
  <c r="AV90" i="23"/>
  <c r="AV89" i="23"/>
  <c r="AV88" i="23"/>
  <c r="AV87" i="23"/>
  <c r="AV86" i="23"/>
  <c r="AV85" i="23"/>
  <c r="AV84" i="23"/>
  <c r="AV83" i="23"/>
  <c r="AV82" i="23"/>
  <c r="AV81" i="23"/>
  <c r="AV80" i="23"/>
  <c r="AV79" i="23"/>
  <c r="AV78" i="23"/>
  <c r="AV77" i="23"/>
  <c r="AV76" i="23"/>
  <c r="AV75" i="23"/>
  <c r="AV74" i="23"/>
  <c r="AV73" i="23"/>
  <c r="AV72" i="23"/>
  <c r="AV71" i="23"/>
  <c r="AV70" i="23"/>
  <c r="AV69" i="23"/>
  <c r="AV68" i="23"/>
  <c r="AV67" i="23"/>
  <c r="AV66" i="23"/>
  <c r="AV65" i="23"/>
  <c r="AV64" i="23"/>
  <c r="AV63" i="23"/>
  <c r="AV62" i="23"/>
  <c r="AV61" i="23"/>
  <c r="AV60" i="23"/>
  <c r="AV59" i="23"/>
  <c r="AI42" i="23" s="1"/>
  <c r="AQ55" i="23"/>
  <c r="AQ54" i="23"/>
  <c r="AQ53" i="23"/>
  <c r="AQ52" i="23"/>
  <c r="AQ51" i="23"/>
  <c r="AQ50" i="23"/>
  <c r="AQ49" i="23"/>
  <c r="AQ48" i="23"/>
  <c r="AQ47" i="23"/>
  <c r="AQ44" i="23"/>
  <c r="AB42" i="23"/>
  <c r="D42" i="23"/>
  <c r="AO41" i="23"/>
  <c r="AO40" i="23"/>
  <c r="AO39" i="23"/>
  <c r="AO38" i="23"/>
  <c r="AO37" i="23"/>
  <c r="AO36" i="23"/>
  <c r="AO35" i="23"/>
  <c r="AO34" i="23"/>
  <c r="AO33" i="23"/>
  <c r="AO32" i="23"/>
  <c r="AO31" i="23"/>
  <c r="AO30" i="23"/>
  <c r="AO29" i="23"/>
  <c r="AO28" i="23"/>
  <c r="AO27" i="23"/>
  <c r="AO26" i="23"/>
  <c r="AO25" i="23"/>
  <c r="AO24" i="23"/>
  <c r="AO23" i="23"/>
  <c r="AO22" i="23"/>
  <c r="AO21" i="23"/>
  <c r="AO20" i="23"/>
  <c r="AO19" i="23"/>
  <c r="AO18" i="23"/>
  <c r="AO17" i="23"/>
  <c r="AO16" i="23"/>
  <c r="AO15" i="23"/>
  <c r="AO14" i="23"/>
  <c r="AO13" i="23"/>
  <c r="AO12" i="23"/>
  <c r="AO11" i="23"/>
  <c r="AO10" i="23"/>
  <c r="AO9" i="23"/>
  <c r="AO8" i="23"/>
  <c r="AO7" i="23"/>
  <c r="AO6" i="23"/>
  <c r="AO5" i="23"/>
  <c r="T42" i="23" l="1"/>
  <c r="L42" i="23"/>
  <c r="AJ42" i="23"/>
  <c r="N42" i="23"/>
  <c r="AL42" i="23"/>
  <c r="E42" i="23"/>
  <c r="M42" i="23"/>
  <c r="U42" i="23"/>
  <c r="AC42" i="23"/>
  <c r="AK42" i="23"/>
  <c r="F42" i="23"/>
  <c r="V42" i="23"/>
  <c r="AD42" i="23"/>
  <c r="G42" i="23"/>
  <c r="O42" i="23"/>
  <c r="W42" i="23"/>
  <c r="AE42" i="23"/>
  <c r="AM42" i="23"/>
  <c r="H42" i="23"/>
  <c r="P42" i="23"/>
  <c r="X42" i="23"/>
  <c r="AF42" i="23"/>
  <c r="AN42" i="23"/>
  <c r="I42" i="23"/>
  <c r="Q42" i="23"/>
  <c r="Y42" i="23"/>
  <c r="AG42" i="23"/>
  <c r="J42" i="23"/>
  <c r="R42" i="23"/>
  <c r="Z42" i="23"/>
  <c r="AH42" i="23"/>
  <c r="K42" i="23"/>
  <c r="S42" i="23"/>
  <c r="AA42" i="23"/>
  <c r="AR54" i="23" l="1"/>
  <c r="AS54" i="23" s="1"/>
  <c r="AR53" i="23"/>
  <c r="AS53" i="23" s="1"/>
  <c r="AR52" i="23"/>
  <c r="AS52" i="23" s="1"/>
  <c r="AR44" i="23"/>
  <c r="AR55" i="23"/>
  <c r="AS55" i="23" s="1"/>
  <c r="AR49" i="23"/>
  <c r="AS49" i="23" s="1"/>
  <c r="AR47" i="23"/>
  <c r="AS47" i="23" s="1"/>
  <c r="AR48" i="23"/>
  <c r="AS48" i="23" s="1"/>
  <c r="AR51" i="23"/>
  <c r="AS51" i="23" s="1"/>
  <c r="AR50" i="23"/>
  <c r="AS50" i="23" s="1"/>
  <c r="J105" i="22" l="1"/>
  <c r="G105" i="22"/>
  <c r="D105" i="22"/>
  <c r="E105" i="22" s="1"/>
  <c r="F105" i="22" s="1"/>
  <c r="J104" i="22"/>
  <c r="G104" i="22"/>
  <c r="D104" i="22"/>
  <c r="E104" i="22" s="1"/>
  <c r="F104" i="22" s="1"/>
  <c r="J103" i="22"/>
  <c r="G103" i="22"/>
  <c r="D103" i="22"/>
  <c r="E103" i="22" s="1"/>
  <c r="F103" i="22" s="1"/>
  <c r="J102" i="22"/>
  <c r="G102" i="22"/>
  <c r="D102" i="22"/>
  <c r="E102" i="22" s="1"/>
  <c r="F102" i="22" s="1"/>
  <c r="J101" i="22"/>
  <c r="G101" i="22"/>
  <c r="D101" i="22"/>
  <c r="E101" i="22" s="1"/>
  <c r="F101" i="22" s="1"/>
  <c r="J100" i="22"/>
  <c r="G100" i="22"/>
  <c r="D100" i="22"/>
  <c r="E100" i="22" s="1"/>
  <c r="F100" i="22" s="1"/>
  <c r="J99" i="22"/>
  <c r="G99" i="22"/>
  <c r="D99" i="22"/>
  <c r="E99" i="22" s="1"/>
  <c r="F99" i="22" s="1"/>
  <c r="J98" i="22"/>
  <c r="G98" i="22"/>
  <c r="D98" i="22"/>
  <c r="E98" i="22" s="1"/>
  <c r="F98" i="22" s="1"/>
  <c r="J97" i="22"/>
  <c r="G97" i="22"/>
  <c r="D97" i="22"/>
  <c r="E97" i="22" s="1"/>
  <c r="F97" i="22" s="1"/>
  <c r="J96" i="22"/>
  <c r="G96" i="22"/>
  <c r="D96" i="22"/>
  <c r="E96" i="22" s="1"/>
  <c r="F96" i="22" s="1"/>
  <c r="J95" i="22"/>
  <c r="G95" i="22"/>
  <c r="D95" i="22"/>
  <c r="E95" i="22" s="1"/>
  <c r="F95" i="22" s="1"/>
  <c r="J94" i="22"/>
  <c r="G94" i="22"/>
  <c r="D94" i="22"/>
  <c r="E94" i="22" s="1"/>
  <c r="F94" i="22" s="1"/>
  <c r="J93" i="22"/>
  <c r="G93" i="22"/>
  <c r="D93" i="22"/>
  <c r="E93" i="22" s="1"/>
  <c r="F93" i="22" s="1"/>
  <c r="J92" i="22"/>
  <c r="G92" i="22"/>
  <c r="D92" i="22"/>
  <c r="E92" i="22" s="1"/>
  <c r="F92" i="22" s="1"/>
  <c r="J91" i="22"/>
  <c r="G91" i="22"/>
  <c r="D91" i="22"/>
  <c r="E91" i="22" s="1"/>
  <c r="F91" i="22" s="1"/>
  <c r="J90" i="22"/>
  <c r="G90" i="22"/>
  <c r="D90" i="22"/>
  <c r="E90" i="22" s="1"/>
  <c r="F90" i="22" s="1"/>
  <c r="J89" i="22"/>
  <c r="G89" i="22"/>
  <c r="D89" i="22"/>
  <c r="E89" i="22" s="1"/>
  <c r="F89" i="22" s="1"/>
  <c r="J88" i="22"/>
  <c r="G88" i="22"/>
  <c r="D88" i="22"/>
  <c r="E88" i="22" s="1"/>
  <c r="F88" i="22" s="1"/>
  <c r="J87" i="22"/>
  <c r="G87" i="22"/>
  <c r="D87" i="22"/>
  <c r="E87" i="22" s="1"/>
  <c r="F87" i="22" s="1"/>
  <c r="J86" i="22"/>
  <c r="G86" i="22"/>
  <c r="D86" i="22"/>
  <c r="E86" i="22" s="1"/>
  <c r="F86" i="22" s="1"/>
  <c r="J85" i="22"/>
  <c r="G85" i="22"/>
  <c r="D85" i="22"/>
  <c r="E85" i="22" s="1"/>
  <c r="F85" i="22" s="1"/>
  <c r="J84" i="22"/>
  <c r="G84" i="22"/>
  <c r="D84" i="22"/>
  <c r="E84" i="22" s="1"/>
  <c r="F84" i="22" s="1"/>
  <c r="J83" i="22"/>
  <c r="G83" i="22"/>
  <c r="D83" i="22"/>
  <c r="E83" i="22" s="1"/>
  <c r="F83" i="22" s="1"/>
  <c r="J82" i="22"/>
  <c r="G82" i="22"/>
  <c r="D82" i="22"/>
  <c r="E82" i="22" s="1"/>
  <c r="F82" i="22" s="1"/>
  <c r="J81" i="22"/>
  <c r="G81" i="22"/>
  <c r="D81" i="22"/>
  <c r="E81" i="22" s="1"/>
  <c r="F81" i="22" s="1"/>
  <c r="J80" i="22"/>
  <c r="G80" i="22"/>
  <c r="D80" i="22"/>
  <c r="E80" i="22" s="1"/>
  <c r="F80" i="22" s="1"/>
  <c r="J79" i="22"/>
  <c r="G79" i="22"/>
  <c r="D79" i="22"/>
  <c r="E79" i="22" s="1"/>
  <c r="F79" i="22" s="1"/>
  <c r="J78" i="22"/>
  <c r="G78" i="22"/>
  <c r="D78" i="22"/>
  <c r="E78" i="22" s="1"/>
  <c r="F78" i="22" s="1"/>
  <c r="J77" i="22"/>
  <c r="G77" i="22"/>
  <c r="D77" i="22"/>
  <c r="E77" i="22" s="1"/>
  <c r="F77" i="22" s="1"/>
  <c r="J76" i="22"/>
  <c r="G76" i="22"/>
  <c r="D76" i="22"/>
  <c r="E76" i="22" s="1"/>
  <c r="F76" i="22" s="1"/>
  <c r="J75" i="22"/>
  <c r="G75" i="22"/>
  <c r="D75" i="22"/>
  <c r="E75" i="22" s="1"/>
  <c r="F75" i="22" s="1"/>
  <c r="J74" i="22"/>
  <c r="G74" i="22"/>
  <c r="D74" i="22"/>
  <c r="E74" i="22" s="1"/>
  <c r="F74" i="22" s="1"/>
  <c r="J73" i="22"/>
  <c r="G73" i="22"/>
  <c r="D73" i="22"/>
  <c r="E73" i="22" s="1"/>
  <c r="F73" i="22" s="1"/>
  <c r="J72" i="22"/>
  <c r="G72" i="22"/>
  <c r="D72" i="22"/>
  <c r="E72" i="22" s="1"/>
  <c r="F72" i="22" s="1"/>
  <c r="J71" i="22"/>
  <c r="G71" i="22"/>
  <c r="D71" i="22"/>
  <c r="E71" i="22" s="1"/>
  <c r="F71" i="22" s="1"/>
  <c r="J70" i="22"/>
  <c r="G70" i="22"/>
  <c r="D70" i="22"/>
  <c r="E70" i="22" s="1"/>
  <c r="F70" i="22" s="1"/>
  <c r="J69" i="22"/>
  <c r="G69" i="22"/>
  <c r="D69" i="22"/>
  <c r="E69" i="22" s="1"/>
  <c r="F69" i="22" s="1"/>
  <c r="J68" i="22"/>
  <c r="G68" i="22"/>
  <c r="D68" i="22"/>
  <c r="E68" i="22" s="1"/>
  <c r="F68" i="22" s="1"/>
  <c r="J67" i="22"/>
  <c r="G67" i="22"/>
  <c r="D67" i="22"/>
  <c r="E67" i="22" s="1"/>
  <c r="F67" i="22" s="1"/>
  <c r="J66" i="22"/>
  <c r="G66" i="22"/>
  <c r="D66" i="22"/>
  <c r="E66" i="22" s="1"/>
  <c r="F66" i="22" s="1"/>
  <c r="J65" i="22"/>
  <c r="G65" i="22"/>
  <c r="D65" i="22"/>
  <c r="E65" i="22" s="1"/>
  <c r="F65" i="22" s="1"/>
  <c r="J64" i="22"/>
  <c r="G64" i="22"/>
  <c r="D64" i="22"/>
  <c r="E64" i="22" s="1"/>
  <c r="F64" i="22" s="1"/>
  <c r="J63" i="22"/>
  <c r="G63" i="22"/>
  <c r="D63" i="22"/>
  <c r="E63" i="22" s="1"/>
  <c r="F63" i="22" s="1"/>
  <c r="J62" i="22"/>
  <c r="G62" i="22"/>
  <c r="D62" i="22"/>
  <c r="E62" i="22" s="1"/>
  <c r="F62" i="22" s="1"/>
  <c r="J61" i="22"/>
  <c r="G61" i="22"/>
  <c r="D61" i="22"/>
  <c r="E61" i="22" s="1"/>
  <c r="F61" i="22" s="1"/>
  <c r="J60" i="22"/>
  <c r="G60" i="22"/>
  <c r="D60" i="22"/>
  <c r="E60" i="22" s="1"/>
  <c r="F60" i="22" s="1"/>
  <c r="J59" i="22"/>
  <c r="G59" i="22"/>
  <c r="D59" i="22"/>
  <c r="E59" i="22" s="1"/>
  <c r="F59" i="22" s="1"/>
  <c r="J58" i="22"/>
  <c r="G58" i="22"/>
  <c r="D58" i="22"/>
  <c r="E58" i="22" s="1"/>
  <c r="F58" i="22" s="1"/>
  <c r="J57" i="22"/>
  <c r="G57" i="22"/>
  <c r="D57" i="22"/>
  <c r="E57" i="22" s="1"/>
  <c r="F57" i="22" s="1"/>
  <c r="J56" i="22"/>
  <c r="G56" i="22"/>
  <c r="D56" i="22"/>
  <c r="E56" i="22" s="1"/>
  <c r="F56" i="22" s="1"/>
  <c r="J55" i="22"/>
  <c r="G55" i="22"/>
  <c r="D55" i="22"/>
  <c r="E55" i="22" s="1"/>
  <c r="F55" i="22" s="1"/>
  <c r="J54" i="22"/>
  <c r="G54" i="22"/>
  <c r="D54" i="22"/>
  <c r="E54" i="22" s="1"/>
  <c r="F54" i="22" s="1"/>
  <c r="J53" i="22"/>
  <c r="G53" i="22"/>
  <c r="D53" i="22"/>
  <c r="E53" i="22" s="1"/>
  <c r="F53" i="22" s="1"/>
  <c r="J52" i="22"/>
  <c r="G52" i="22"/>
  <c r="D52" i="22"/>
  <c r="E52" i="22" s="1"/>
  <c r="F52" i="22" s="1"/>
  <c r="J51" i="22"/>
  <c r="G51" i="22"/>
  <c r="D51" i="22"/>
  <c r="E51" i="22" s="1"/>
  <c r="F51" i="22" s="1"/>
  <c r="J50" i="22"/>
  <c r="G50" i="22"/>
  <c r="D50" i="22"/>
  <c r="E50" i="22" s="1"/>
  <c r="F50" i="22" s="1"/>
  <c r="J49" i="22"/>
  <c r="G49" i="22"/>
  <c r="D49" i="22"/>
  <c r="E49" i="22" s="1"/>
  <c r="F49" i="22" s="1"/>
  <c r="J48" i="22"/>
  <c r="G48" i="22"/>
  <c r="D48" i="22"/>
  <c r="E48" i="22" s="1"/>
  <c r="F48" i="22" s="1"/>
  <c r="J47" i="22"/>
  <c r="G47" i="22"/>
  <c r="D47" i="22"/>
  <c r="E47" i="22" s="1"/>
  <c r="F47" i="22" s="1"/>
  <c r="J46" i="22"/>
  <c r="G46" i="22"/>
  <c r="D46" i="22"/>
  <c r="E46" i="22" s="1"/>
  <c r="F46" i="22" s="1"/>
  <c r="J45" i="22"/>
  <c r="G45" i="22"/>
  <c r="D45" i="22"/>
  <c r="E45" i="22" s="1"/>
  <c r="F45" i="22" s="1"/>
  <c r="J44" i="22"/>
  <c r="G44" i="22"/>
  <c r="D44" i="22"/>
  <c r="E44" i="22" s="1"/>
  <c r="F44" i="22" s="1"/>
  <c r="G43" i="22"/>
  <c r="D43" i="22"/>
  <c r="G42" i="22"/>
  <c r="D42" i="22"/>
  <c r="G41" i="22"/>
  <c r="D41" i="22"/>
  <c r="G40" i="22"/>
  <c r="D40" i="22"/>
  <c r="G39" i="22"/>
  <c r="D39" i="22"/>
  <c r="G38" i="22"/>
  <c r="D38" i="22"/>
  <c r="G37" i="22"/>
  <c r="D37" i="22"/>
  <c r="G36" i="22"/>
  <c r="D36" i="22"/>
  <c r="G35" i="22"/>
  <c r="D35" i="22"/>
  <c r="G34" i="22"/>
  <c r="D34" i="22"/>
  <c r="G33" i="22"/>
  <c r="D33" i="22"/>
  <c r="G32" i="22"/>
  <c r="D32" i="22"/>
  <c r="G31" i="22"/>
  <c r="D31" i="22"/>
  <c r="G30" i="22"/>
  <c r="D30" i="22"/>
  <c r="G29" i="22"/>
  <c r="D29" i="22"/>
  <c r="G28" i="22"/>
  <c r="D28" i="22"/>
  <c r="G27" i="22"/>
  <c r="D27" i="22"/>
  <c r="G26" i="22"/>
  <c r="D26" i="22"/>
  <c r="G25" i="22"/>
  <c r="D25" i="22"/>
  <c r="G24" i="22"/>
  <c r="D24" i="22"/>
  <c r="G23" i="22"/>
  <c r="D23" i="22"/>
  <c r="G22" i="22"/>
  <c r="D22" i="22"/>
  <c r="G21" i="22"/>
  <c r="D21" i="22"/>
  <c r="G20" i="22"/>
  <c r="D20" i="22"/>
  <c r="G19" i="22"/>
  <c r="D19" i="22"/>
  <c r="G18" i="22"/>
  <c r="D18" i="22"/>
  <c r="G17" i="22"/>
  <c r="D17" i="22"/>
  <c r="G16" i="22"/>
  <c r="D16" i="22"/>
  <c r="G15" i="22"/>
  <c r="D15" i="22"/>
  <c r="G14" i="22"/>
  <c r="D14" i="22"/>
  <c r="G13" i="22"/>
  <c r="D13" i="22"/>
  <c r="G12" i="22"/>
  <c r="D12" i="22"/>
  <c r="G11" i="22"/>
  <c r="D11" i="22"/>
  <c r="G10" i="22"/>
  <c r="D10" i="22"/>
  <c r="G9" i="22"/>
  <c r="D9" i="22"/>
  <c r="G8" i="22"/>
  <c r="D8" i="22"/>
  <c r="G7" i="22"/>
  <c r="D7" i="22"/>
  <c r="G6" i="22"/>
  <c r="O2" i="22"/>
  <c r="D2" i="22"/>
  <c r="O1" i="22"/>
  <c r="E33" i="22" l="1"/>
  <c r="F33" i="22" s="1"/>
  <c r="E41" i="22"/>
  <c r="F41" i="22" s="1"/>
  <c r="E35" i="22"/>
  <c r="F35" i="22" s="1"/>
  <c r="E43" i="22"/>
  <c r="F43" i="22" s="1"/>
  <c r="E32" i="22"/>
  <c r="F32" i="22" s="1"/>
  <c r="E40" i="22"/>
  <c r="F40" i="22" s="1"/>
  <c r="E30" i="22"/>
  <c r="F30" i="22" s="1"/>
  <c r="E38" i="22"/>
  <c r="F38" i="22" s="1"/>
  <c r="E36" i="22"/>
  <c r="F36" i="22" s="1"/>
  <c r="E42" i="22"/>
  <c r="F42" i="22" s="1"/>
  <c r="E31" i="22"/>
  <c r="F31" i="22" s="1"/>
  <c r="E39" i="22"/>
  <c r="F39" i="22" s="1"/>
  <c r="E34" i="22"/>
  <c r="F34" i="22" s="1"/>
  <c r="E37" i="22"/>
  <c r="F37" i="22" s="1"/>
  <c r="J39" i="22"/>
  <c r="K42" i="22"/>
  <c r="T3" i="22"/>
  <c r="E8" i="22"/>
  <c r="F8" i="22" s="1"/>
  <c r="E23" i="22"/>
  <c r="F23" i="22" s="1"/>
  <c r="E13" i="22"/>
  <c r="F13" i="22" s="1"/>
  <c r="E9" i="22"/>
  <c r="F9" i="22" s="1"/>
  <c r="E14" i="22"/>
  <c r="F14" i="22" s="1"/>
  <c r="E11" i="22"/>
  <c r="F11" i="22" s="1"/>
  <c r="E15" i="22"/>
  <c r="F15" i="22" s="1"/>
  <c r="E24" i="22"/>
  <c r="F24" i="22" s="1"/>
  <c r="E28" i="22"/>
  <c r="F28" i="22" s="1"/>
  <c r="E21" i="22"/>
  <c r="F21" i="22" s="1"/>
  <c r="E12" i="22"/>
  <c r="F12" i="22" s="1"/>
  <c r="E16" i="22"/>
  <c r="F16" i="22" s="1"/>
  <c r="E22" i="22"/>
  <c r="F22" i="22" s="1"/>
  <c r="E10" i="22"/>
  <c r="F10" i="22" s="1"/>
  <c r="E20" i="22"/>
  <c r="F20" i="22" s="1"/>
  <c r="E19" i="22"/>
  <c r="F19" i="22" s="1"/>
  <c r="E26" i="22"/>
  <c r="F26" i="22" s="1"/>
  <c r="E17" i="22"/>
  <c r="F17" i="22" s="1"/>
  <c r="E29" i="22"/>
  <c r="F29" i="22" s="1"/>
  <c r="E18" i="22"/>
  <c r="F18" i="22" s="1"/>
  <c r="E7" i="22"/>
  <c r="K41" i="22" s="1"/>
  <c r="E25" i="22"/>
  <c r="F25" i="22" s="1"/>
  <c r="E27" i="22"/>
  <c r="F27" i="22" s="1"/>
  <c r="K36" i="22" l="1"/>
  <c r="J33" i="22"/>
  <c r="N33" i="22" s="1"/>
  <c r="K32" i="22"/>
  <c r="J36" i="22"/>
  <c r="K39" i="22"/>
  <c r="K35" i="22"/>
  <c r="K31" i="22"/>
  <c r="J32" i="22"/>
  <c r="K40" i="22"/>
  <c r="J41" i="22"/>
  <c r="J37" i="22"/>
  <c r="J30" i="22"/>
  <c r="K34" i="22"/>
  <c r="K30" i="22"/>
  <c r="J40" i="22"/>
  <c r="K33" i="22"/>
  <c r="N39" i="22"/>
  <c r="L39" i="22"/>
  <c r="I6" i="22"/>
  <c r="T1" i="22" s="1"/>
  <c r="J35" i="22"/>
  <c r="J42" i="22"/>
  <c r="J34" i="22"/>
  <c r="J43" i="22"/>
  <c r="K43" i="22"/>
  <c r="J38" i="22"/>
  <c r="K37" i="22"/>
  <c r="J31" i="22"/>
  <c r="K38" i="22"/>
  <c r="K28" i="22"/>
  <c r="K26" i="22"/>
  <c r="K27" i="22"/>
  <c r="K29" i="22"/>
  <c r="K9" i="22"/>
  <c r="K15" i="22"/>
  <c r="K25" i="22"/>
  <c r="K17" i="22"/>
  <c r="K22" i="22"/>
  <c r="K13" i="22"/>
  <c r="K7" i="22"/>
  <c r="K21" i="22"/>
  <c r="K18" i="22"/>
  <c r="K20" i="22"/>
  <c r="K14" i="22"/>
  <c r="K12" i="22"/>
  <c r="K10" i="22"/>
  <c r="K8" i="22"/>
  <c r="K23" i="22"/>
  <c r="K24" i="22"/>
  <c r="K16" i="22"/>
  <c r="R96" i="22"/>
  <c r="K6" i="22"/>
  <c r="K19" i="22"/>
  <c r="K11" i="22"/>
  <c r="J26" i="22"/>
  <c r="J22" i="22"/>
  <c r="H69" i="22"/>
  <c r="H66" i="22"/>
  <c r="H40" i="22"/>
  <c r="H104" i="22"/>
  <c r="H13" i="22"/>
  <c r="I26" i="22"/>
  <c r="I62" i="22"/>
  <c r="H29" i="22"/>
  <c r="I85" i="22"/>
  <c r="H88" i="22"/>
  <c r="I86" i="22"/>
  <c r="I66" i="22"/>
  <c r="H105" i="22"/>
  <c r="R78" i="22"/>
  <c r="I88" i="22"/>
  <c r="H53" i="22"/>
  <c r="H14" i="22"/>
  <c r="I82" i="22"/>
  <c r="I23" i="22"/>
  <c r="H85" i="22"/>
  <c r="H8" i="22"/>
  <c r="H45" i="22"/>
  <c r="I10" i="22"/>
  <c r="I40" i="22"/>
  <c r="R74" i="22"/>
  <c r="J10" i="22"/>
  <c r="H48" i="22"/>
  <c r="I56" i="22"/>
  <c r="I65" i="22"/>
  <c r="J17" i="22"/>
  <c r="R64" i="22"/>
  <c r="H90" i="22"/>
  <c r="H38" i="22"/>
  <c r="I61" i="22"/>
  <c r="H96" i="22"/>
  <c r="R105" i="22"/>
  <c r="I73" i="22"/>
  <c r="I49" i="22"/>
  <c r="I94" i="22"/>
  <c r="I93" i="22"/>
  <c r="I96" i="22"/>
  <c r="H72" i="22"/>
  <c r="I54" i="22"/>
  <c r="H50" i="22"/>
  <c r="H22" i="22"/>
  <c r="H67" i="22"/>
  <c r="H82" i="22"/>
  <c r="I30" i="22"/>
  <c r="H58" i="22"/>
  <c r="H46" i="22"/>
  <c r="R54" i="22"/>
  <c r="H18" i="22"/>
  <c r="H17" i="22"/>
  <c r="J15" i="22"/>
  <c r="I14" i="22"/>
  <c r="I24" i="22"/>
  <c r="I70" i="22"/>
  <c r="H65" i="22"/>
  <c r="H93" i="22"/>
  <c r="I72" i="22"/>
  <c r="I31" i="22"/>
  <c r="I105" i="22"/>
  <c r="I22" i="22"/>
  <c r="I67" i="22"/>
  <c r="H23" i="22"/>
  <c r="I32" i="22"/>
  <c r="R52" i="22"/>
  <c r="H21" i="22"/>
  <c r="H37" i="22"/>
  <c r="I18" i="22"/>
  <c r="I17" i="22"/>
  <c r="H26" i="22"/>
  <c r="I97" i="22"/>
  <c r="J24" i="22"/>
  <c r="H74" i="22"/>
  <c r="H41" i="22"/>
  <c r="J23" i="22"/>
  <c r="P23" i="22" s="1"/>
  <c r="H81" i="22"/>
  <c r="R59" i="22"/>
  <c r="H16" i="22"/>
  <c r="H59" i="22"/>
  <c r="H6" i="22"/>
  <c r="T2" i="22" s="1"/>
  <c r="I102" i="22"/>
  <c r="I101" i="22"/>
  <c r="I104" i="22"/>
  <c r="H80" i="22"/>
  <c r="H56" i="22"/>
  <c r="I57" i="22"/>
  <c r="H89" i="22"/>
  <c r="H64" i="22"/>
  <c r="I89" i="22"/>
  <c r="I38" i="22"/>
  <c r="H61" i="22"/>
  <c r="I41" i="22"/>
  <c r="I90" i="22"/>
  <c r="I81" i="22"/>
  <c r="I50" i="22"/>
  <c r="I8" i="22"/>
  <c r="H9" i="22"/>
  <c r="I16" i="22"/>
  <c r="I59" i="22"/>
  <c r="H43" i="22"/>
  <c r="J6" i="22"/>
  <c r="I78" i="22"/>
  <c r="H101" i="22"/>
  <c r="I80" i="22"/>
  <c r="H49" i="22"/>
  <c r="R101" i="22"/>
  <c r="R98" i="22"/>
  <c r="R93" i="22"/>
  <c r="I48" i="22"/>
  <c r="H32" i="22"/>
  <c r="H34" i="22"/>
  <c r="H10" i="22"/>
  <c r="H39" i="22"/>
  <c r="H15" i="22"/>
  <c r="I39" i="22"/>
  <c r="J9" i="22"/>
  <c r="J16" i="22"/>
  <c r="I43" i="22"/>
  <c r="R77" i="22"/>
  <c r="H103" i="22"/>
  <c r="H95" i="22"/>
  <c r="H87" i="22"/>
  <c r="H79" i="22"/>
  <c r="H71" i="22"/>
  <c r="H99" i="22"/>
  <c r="H91" i="22"/>
  <c r="H83" i="22"/>
  <c r="H75" i="22"/>
  <c r="I77" i="22"/>
  <c r="I69" i="22"/>
  <c r="H52" i="22"/>
  <c r="H47" i="22"/>
  <c r="I100" i="22"/>
  <c r="I92" i="22"/>
  <c r="I84" i="22"/>
  <c r="I76" i="22"/>
  <c r="I68" i="22"/>
  <c r="I63" i="22"/>
  <c r="I103" i="22"/>
  <c r="H84" i="22"/>
  <c r="I74" i="22"/>
  <c r="H73" i="22"/>
  <c r="H68" i="22"/>
  <c r="I64" i="22"/>
  <c r="I53" i="22"/>
  <c r="I47" i="22"/>
  <c r="H44" i="22"/>
  <c r="I34" i="22"/>
  <c r="H31" i="22"/>
  <c r="H27" i="22"/>
  <c r="J20" i="22"/>
  <c r="J14" i="22"/>
  <c r="I13" i="22"/>
  <c r="H12" i="22"/>
  <c r="J8" i="22"/>
  <c r="H102" i="22"/>
  <c r="I83" i="22"/>
  <c r="I79" i="22"/>
  <c r="I52" i="22"/>
  <c r="I36" i="22"/>
  <c r="I20" i="22"/>
  <c r="F7" i="22"/>
  <c r="I99" i="22"/>
  <c r="I95" i="22"/>
  <c r="H62" i="22"/>
  <c r="H94" i="22"/>
  <c r="H100" i="22"/>
  <c r="H78" i="22"/>
  <c r="H63" i="22"/>
  <c r="H36" i="22"/>
  <c r="J28" i="22"/>
  <c r="P28" i="22" s="1"/>
  <c r="H20" i="22"/>
  <c r="I45" i="22"/>
  <c r="I28" i="22"/>
  <c r="H76" i="22"/>
  <c r="I55" i="22"/>
  <c r="I29" i="22"/>
  <c r="H70" i="22"/>
  <c r="I58" i="22"/>
  <c r="H57" i="22"/>
  <c r="I42" i="22"/>
  <c r="I12" i="22"/>
  <c r="I11" i="22"/>
  <c r="J7" i="22"/>
  <c r="I75" i="22"/>
  <c r="I71" i="22"/>
  <c r="H55" i="22"/>
  <c r="H42" i="22"/>
  <c r="J25" i="22"/>
  <c r="H11" i="22"/>
  <c r="I7" i="22"/>
  <c r="H98" i="22"/>
  <c r="I91" i="22"/>
  <c r="I60" i="22"/>
  <c r="I27" i="22"/>
  <c r="I21" i="22"/>
  <c r="H19" i="22"/>
  <c r="H92" i="22"/>
  <c r="H60" i="22"/>
  <c r="J29" i="22"/>
  <c r="H28" i="22"/>
  <c r="I98" i="22"/>
  <c r="I87" i="22"/>
  <c r="I35" i="22"/>
  <c r="H35" i="22"/>
  <c r="H25" i="22"/>
  <c r="I51" i="22"/>
  <c r="I44" i="22"/>
  <c r="H51" i="22"/>
  <c r="J13" i="22"/>
  <c r="I25" i="22"/>
  <c r="J19" i="22"/>
  <c r="I33" i="22"/>
  <c r="I19" i="22"/>
  <c r="H86" i="22"/>
  <c r="I37" i="22"/>
  <c r="H33" i="22"/>
  <c r="J12" i="22"/>
  <c r="P12" i="22" s="1"/>
  <c r="H7" i="22"/>
  <c r="J21" i="22"/>
  <c r="J11" i="22"/>
  <c r="H97" i="22"/>
  <c r="J27" i="22"/>
  <c r="H77" i="22"/>
  <c r="H54" i="22"/>
  <c r="I46" i="22"/>
  <c r="H30" i="22"/>
  <c r="I15" i="22"/>
  <c r="I9" i="22"/>
  <c r="H24" i="22"/>
  <c r="J18" i="22"/>
  <c r="P18" i="22" s="1"/>
  <c r="P6" i="22" l="1"/>
  <c r="P26" i="22"/>
  <c r="P14" i="22"/>
  <c r="P13" i="22"/>
  <c r="P24" i="22"/>
  <c r="P10" i="22"/>
  <c r="P8" i="22"/>
  <c r="P22" i="22"/>
  <c r="P25" i="22"/>
  <c r="P16" i="22"/>
  <c r="P19" i="22"/>
  <c r="P29" i="22"/>
  <c r="P9" i="22"/>
  <c r="P27" i="22"/>
  <c r="P20" i="22"/>
  <c r="P11" i="22"/>
  <c r="P21" i="22"/>
  <c r="P7" i="22"/>
  <c r="P15" i="22"/>
  <c r="P17" i="22"/>
  <c r="O39" i="22"/>
  <c r="L33" i="22"/>
  <c r="D3" i="22"/>
  <c r="O31" i="22"/>
  <c r="N31" i="22"/>
  <c r="L31" i="22"/>
  <c r="L35" i="22"/>
  <c r="O35" i="22"/>
  <c r="N35" i="22"/>
  <c r="N41" i="22"/>
  <c r="L41" i="22"/>
  <c r="O41" i="22"/>
  <c r="L30" i="22"/>
  <c r="N30" i="22"/>
  <c r="O30" i="22"/>
  <c r="N32" i="22"/>
  <c r="L32" i="22"/>
  <c r="O32" i="22"/>
  <c r="L38" i="22"/>
  <c r="O38" i="22"/>
  <c r="N38" i="22"/>
  <c r="O33" i="22"/>
  <c r="O34" i="22"/>
  <c r="N34" i="22"/>
  <c r="L34" i="22"/>
  <c r="L36" i="22"/>
  <c r="O36" i="22"/>
  <c r="N36" i="22"/>
  <c r="L43" i="22"/>
  <c r="O43" i="22"/>
  <c r="N43" i="22"/>
  <c r="O42" i="22"/>
  <c r="N42" i="22"/>
  <c r="L42" i="22"/>
  <c r="L40" i="22"/>
  <c r="O40" i="22"/>
  <c r="N40" i="22"/>
  <c r="O37" i="22"/>
  <c r="L37" i="22"/>
  <c r="N37" i="22"/>
  <c r="L29" i="22"/>
  <c r="O29" i="22"/>
  <c r="N29" i="22"/>
  <c r="O26" i="22"/>
  <c r="N26" i="22"/>
  <c r="L26" i="22"/>
  <c r="O27" i="22"/>
  <c r="N27" i="22"/>
  <c r="L27" i="22"/>
  <c r="L28" i="22"/>
  <c r="N28" i="22"/>
  <c r="O28" i="22"/>
  <c r="O6" i="22"/>
  <c r="L6" i="22"/>
  <c r="M6" i="22" s="1"/>
  <c r="L24" i="22"/>
  <c r="O24" i="22"/>
  <c r="L8" i="22"/>
  <c r="O8" i="22"/>
  <c r="L12" i="22"/>
  <c r="O12" i="22"/>
  <c r="O13" i="22"/>
  <c r="L13" i="22"/>
  <c r="O22" i="22"/>
  <c r="L22" i="22"/>
  <c r="L18" i="22"/>
  <c r="O18" i="22"/>
  <c r="L7" i="22"/>
  <c r="O7" i="22"/>
  <c r="L14" i="22"/>
  <c r="O14" i="22"/>
  <c r="L23" i="22"/>
  <c r="O23" i="22"/>
  <c r="L15" i="22"/>
  <c r="O15" i="22"/>
  <c r="L20" i="22"/>
  <c r="O20" i="22"/>
  <c r="L17" i="22"/>
  <c r="O17" i="22"/>
  <c r="O21" i="22"/>
  <c r="L21" i="22"/>
  <c r="L11" i="22"/>
  <c r="O11" i="22"/>
  <c r="O25" i="22"/>
  <c r="L25" i="22"/>
  <c r="O16" i="22"/>
  <c r="L16" i="22"/>
  <c r="L19" i="22"/>
  <c r="O19" i="22"/>
  <c r="O9" i="22"/>
  <c r="L9" i="22"/>
  <c r="L10" i="22"/>
  <c r="O10" i="22"/>
  <c r="R67" i="22"/>
  <c r="R63" i="22"/>
  <c r="R97" i="22"/>
  <c r="R89" i="22"/>
  <c r="R95" i="22"/>
  <c r="R53" i="22"/>
  <c r="R103" i="22"/>
  <c r="R82" i="22"/>
  <c r="R94" i="22"/>
  <c r="R71" i="22"/>
  <c r="R83" i="22"/>
  <c r="R48" i="22"/>
  <c r="R87" i="22"/>
  <c r="R55" i="22"/>
  <c r="R45" i="22"/>
  <c r="R68" i="22"/>
  <c r="R47" i="22"/>
  <c r="R65" i="22"/>
  <c r="R102" i="22"/>
  <c r="R56" i="22"/>
  <c r="R57" i="22"/>
  <c r="R73" i="22"/>
  <c r="R69" i="22"/>
  <c r="R84" i="22"/>
  <c r="R66" i="22"/>
  <c r="R44" i="22"/>
  <c r="R49" i="22"/>
  <c r="R50" i="22"/>
  <c r="R61" i="22"/>
  <c r="R62" i="22"/>
  <c r="R99" i="22"/>
  <c r="R88" i="22"/>
  <c r="N12" i="22"/>
  <c r="R91" i="22"/>
  <c r="N6" i="22"/>
  <c r="N24" i="22"/>
  <c r="R85" i="22"/>
  <c r="N9" i="22"/>
  <c r="N15" i="22"/>
  <c r="R92" i="22"/>
  <c r="N7" i="22"/>
  <c r="N14" i="22"/>
  <c r="R72" i="22"/>
  <c r="R80" i="22"/>
  <c r="R100" i="22"/>
  <c r="R46" i="22"/>
  <c r="R70" i="22"/>
  <c r="N10" i="22"/>
  <c r="N8" i="22"/>
  <c r="R51" i="22"/>
  <c r="R75" i="22"/>
  <c r="N17" i="22"/>
  <c r="N22" i="22"/>
  <c r="R79" i="22"/>
  <c r="N11" i="22"/>
  <c r="N25" i="22"/>
  <c r="N13" i="22"/>
  <c r="N16" i="22"/>
  <c r="N20" i="22"/>
  <c r="N23" i="22"/>
  <c r="N18" i="22"/>
  <c r="N21" i="22"/>
  <c r="N19" i="22"/>
  <c r="R76" i="22"/>
  <c r="R58" i="22"/>
  <c r="R81" i="22"/>
  <c r="R104" i="22"/>
  <c r="R60" i="22"/>
  <c r="R86" i="22"/>
  <c r="R90" i="22"/>
  <c r="M7" i="22" l="1"/>
  <c r="M8" i="22" l="1"/>
  <c r="M9" i="22" l="1"/>
  <c r="M10" i="22" l="1"/>
  <c r="B6" i="21"/>
  <c r="C6" i="21"/>
  <c r="D6" i="21"/>
  <c r="M11" i="22" l="1"/>
  <c r="F26" i="14"/>
  <c r="E26" i="14"/>
  <c r="G36" i="20"/>
  <c r="I32" i="20"/>
  <c r="H32" i="20"/>
  <c r="F32" i="20"/>
  <c r="E32" i="20"/>
  <c r="D32" i="20"/>
  <c r="C32" i="20"/>
  <c r="K30" i="20"/>
  <c r="K29" i="20"/>
  <c r="K28" i="20"/>
  <c r="K27" i="20"/>
  <c r="K26" i="20"/>
  <c r="K25" i="20"/>
  <c r="K24" i="20"/>
  <c r="K23" i="20"/>
  <c r="K22" i="20"/>
  <c r="K21" i="20"/>
  <c r="K20" i="20"/>
  <c r="K19" i="20"/>
  <c r="K18" i="20"/>
  <c r="K17" i="20"/>
  <c r="K16" i="20"/>
  <c r="K15" i="20"/>
  <c r="K14" i="20"/>
  <c r="K13" i="20"/>
  <c r="L13" i="20" s="1"/>
  <c r="K12" i="20"/>
  <c r="K11" i="20"/>
  <c r="L11" i="20" s="1"/>
  <c r="L15" i="20" l="1"/>
  <c r="L19" i="20"/>
  <c r="L23" i="20"/>
  <c r="L27" i="20"/>
  <c r="L12" i="20"/>
  <c r="L16" i="20"/>
  <c r="L20" i="20"/>
  <c r="L24" i="20"/>
  <c r="L28" i="20"/>
  <c r="L17" i="20"/>
  <c r="L21" i="20"/>
  <c r="L25" i="20"/>
  <c r="L29" i="20"/>
  <c r="L14" i="20"/>
  <c r="L18" i="20"/>
  <c r="L22" i="20"/>
  <c r="L26" i="20"/>
  <c r="L30" i="20"/>
  <c r="M12" i="22"/>
  <c r="E4" i="14"/>
  <c r="F4" i="14"/>
  <c r="E5" i="14"/>
  <c r="F5" i="14"/>
  <c r="E6" i="14"/>
  <c r="F6" i="14"/>
  <c r="E7" i="14"/>
  <c r="F7" i="14"/>
  <c r="E8" i="14"/>
  <c r="F8" i="14"/>
  <c r="E9" i="14"/>
  <c r="F9" i="14"/>
  <c r="E10" i="14"/>
  <c r="F10" i="14"/>
  <c r="E11" i="14"/>
  <c r="F11" i="14"/>
  <c r="E12" i="14"/>
  <c r="F12" i="14"/>
  <c r="E13" i="14"/>
  <c r="F13" i="14"/>
  <c r="E14" i="14"/>
  <c r="F14" i="14"/>
  <c r="E15" i="14"/>
  <c r="F15" i="14"/>
  <c r="E16" i="14"/>
  <c r="F16" i="14"/>
  <c r="E17" i="14"/>
  <c r="F17" i="14"/>
  <c r="E18" i="14"/>
  <c r="F18" i="14"/>
  <c r="E19" i="14"/>
  <c r="F19" i="14"/>
  <c r="E20" i="14"/>
  <c r="F20" i="14"/>
  <c r="E21" i="14"/>
  <c r="F21" i="14"/>
  <c r="E22" i="14"/>
  <c r="F22" i="14"/>
  <c r="E23" i="14"/>
  <c r="F23" i="14"/>
  <c r="E24" i="14"/>
  <c r="F24" i="14"/>
  <c r="E25" i="14"/>
  <c r="F25" i="14"/>
  <c r="F3" i="14"/>
  <c r="M13" i="22" l="1"/>
  <c r="D9" i="16"/>
  <c r="F9" i="16"/>
  <c r="F11" i="16" s="1"/>
  <c r="D10" i="16"/>
  <c r="F10" i="16"/>
  <c r="B11" i="16"/>
  <c r="C15" i="16"/>
  <c r="C16" i="16"/>
  <c r="C17" i="16"/>
  <c r="C5" i="15"/>
  <c r="D6" i="15"/>
  <c r="E6" i="15" s="1"/>
  <c r="D7" i="15"/>
  <c r="E7" i="15" s="1"/>
  <c r="F7" i="15" s="1"/>
  <c r="G7" i="15" s="1"/>
  <c r="C9" i="15"/>
  <c r="D9" i="15" s="1"/>
  <c r="E9" i="15" s="1"/>
  <c r="F9" i="15" s="1"/>
  <c r="G9" i="15" s="1"/>
  <c r="B12" i="15"/>
  <c r="B18" i="15" s="1"/>
  <c r="B20" i="15" s="1"/>
  <c r="C15" i="15"/>
  <c r="D16" i="15"/>
  <c r="E3" i="14"/>
  <c r="E16" i="11"/>
  <c r="E15" i="11"/>
  <c r="E14" i="11"/>
  <c r="E12" i="11"/>
  <c r="E11" i="11"/>
  <c r="E10" i="11"/>
  <c r="E9" i="11"/>
  <c r="E8" i="11"/>
  <c r="E7" i="11"/>
  <c r="E6" i="11"/>
  <c r="E5" i="11"/>
  <c r="C20" i="4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21" i="7"/>
  <c r="C11" i="9"/>
  <c r="C13" i="9" s="1"/>
  <c r="D11" i="9"/>
  <c r="D13" i="9" s="1"/>
  <c r="E11" i="9"/>
  <c r="E13" i="9" s="1"/>
  <c r="F11" i="9"/>
  <c r="F13" i="9" s="1"/>
  <c r="D11" i="16" l="1"/>
  <c r="M14" i="22"/>
  <c r="Q6" i="22"/>
  <c r="R6" i="22" s="1"/>
  <c r="C12" i="15"/>
  <c r="C18" i="15" s="1"/>
  <c r="C20" i="15" s="1"/>
  <c r="D15" i="15"/>
  <c r="D5" i="15"/>
  <c r="D12" i="15" s="1"/>
  <c r="E16" i="15"/>
  <c r="F16" i="15" s="1"/>
  <c r="F6" i="15"/>
  <c r="Q7" i="22" l="1"/>
  <c r="R7" i="22" s="1"/>
  <c r="M15" i="22"/>
  <c r="D18" i="15"/>
  <c r="D20" i="15" s="1"/>
  <c r="E15" i="15"/>
  <c r="F15" i="15" s="1"/>
  <c r="E5" i="15"/>
  <c r="E12" i="15" s="1"/>
  <c r="G6" i="15"/>
  <c r="G16" i="15"/>
  <c r="Q8" i="22" l="1"/>
  <c r="R8" i="22" s="1"/>
  <c r="M16" i="22"/>
  <c r="E18" i="15"/>
  <c r="E20" i="15" s="1"/>
  <c r="F5" i="15"/>
  <c r="F12" i="15" s="1"/>
  <c r="G15" i="15"/>
  <c r="H15" i="15" s="1"/>
  <c r="Q9" i="22" l="1"/>
  <c r="R9" i="22" s="1"/>
  <c r="M17" i="22"/>
  <c r="G5" i="15"/>
  <c r="F18" i="15"/>
  <c r="Q10" i="22" l="1"/>
  <c r="R10" i="22" s="1"/>
  <c r="M18" i="22"/>
  <c r="Q11" i="22" s="1"/>
  <c r="R11" i="22" s="1"/>
  <c r="G12" i="15"/>
  <c r="H5" i="15"/>
  <c r="J16" i="15" s="1"/>
  <c r="C58" i="15" s="1"/>
  <c r="F20" i="15"/>
  <c r="M19" i="22" l="1"/>
  <c r="B79" i="15"/>
  <c r="G18" i="15"/>
  <c r="H12" i="15"/>
  <c r="Q12" i="22" l="1"/>
  <c r="R12" i="22" s="1"/>
  <c r="M20" i="22"/>
  <c r="Q13" i="22" s="1"/>
  <c r="G20" i="15"/>
  <c r="H18" i="15"/>
  <c r="H20" i="15" s="1"/>
  <c r="R13" i="22" l="1"/>
  <c r="M21" i="22"/>
  <c r="Q14" i="22" l="1"/>
  <c r="R14" i="22" s="1"/>
  <c r="M22" i="22"/>
  <c r="M23" i="22" l="1"/>
  <c r="Q15" i="22"/>
  <c r="R15" i="22" s="1"/>
  <c r="M24" i="22" l="1"/>
  <c r="Q17" i="22" s="1"/>
  <c r="R17" i="22" s="1"/>
  <c r="Q16" i="22"/>
  <c r="R16" i="22" s="1"/>
  <c r="M25" i="22" l="1"/>
  <c r="M26" i="22" l="1"/>
  <c r="Q19" i="22" s="1"/>
  <c r="R19" i="22" s="1"/>
  <c r="Q18" i="22"/>
  <c r="R18" i="22" s="1"/>
  <c r="M27" i="22" l="1"/>
  <c r="M28" i="22" l="1"/>
  <c r="Q20" i="22"/>
  <c r="R20" i="22" s="1"/>
  <c r="M29" i="22" l="1"/>
  <c r="Q22" i="22" s="1"/>
  <c r="R22" i="22" s="1"/>
  <c r="Q21" i="22"/>
  <c r="R21" i="22" s="1"/>
  <c r="M30" i="22" l="1"/>
  <c r="M31" i="22" l="1"/>
  <c r="Q24" i="22" s="1"/>
  <c r="R24" i="22" s="1"/>
  <c r="Q23" i="22"/>
  <c r="R23" i="22" s="1"/>
  <c r="M32" i="22" l="1"/>
  <c r="M33" i="22" s="1"/>
  <c r="Q25" i="22" l="1"/>
  <c r="R25" i="22" s="1"/>
  <c r="M34" i="22"/>
  <c r="Q27" i="22" s="1"/>
  <c r="R27" i="22" s="1"/>
  <c r="Q26" i="22"/>
  <c r="R26" i="22" s="1"/>
  <c r="M35" i="22" l="1"/>
  <c r="M36" i="22" l="1"/>
  <c r="Q28" i="22"/>
  <c r="R28" i="22" s="1"/>
  <c r="M37" i="22" l="1"/>
  <c r="Q29" i="22"/>
  <c r="R29" i="22" s="1"/>
  <c r="M38" i="22" l="1"/>
  <c r="Q30" i="22"/>
  <c r="R30" i="22" s="1"/>
  <c r="M39" i="22" l="1"/>
  <c r="Q31" i="22"/>
  <c r="R31" i="22" s="1"/>
  <c r="Q32" i="22"/>
  <c r="R32" i="22" s="1"/>
  <c r="M40" i="22" l="1"/>
  <c r="M41" i="22" l="1"/>
  <c r="Q33" i="22"/>
  <c r="R33" i="22" s="1"/>
  <c r="Q34" i="22"/>
  <c r="R34" i="22" s="1"/>
  <c r="M42" i="22" l="1"/>
  <c r="M43" i="22" l="1"/>
  <c r="Q42" i="22"/>
  <c r="R42" i="22" s="1"/>
  <c r="Q38" i="22"/>
  <c r="R38" i="22" s="1"/>
  <c r="Q40" i="22"/>
  <c r="R40" i="22" s="1"/>
  <c r="Q35" i="22"/>
  <c r="R35" i="22" s="1"/>
  <c r="Q36" i="22"/>
  <c r="R36" i="22" s="1"/>
  <c r="Q37" i="22"/>
  <c r="R37" i="22" s="1"/>
  <c r="Q39" i="22"/>
  <c r="R39" i="22" s="1"/>
  <c r="Q41" i="22"/>
  <c r="R41" i="22" s="1"/>
  <c r="Q43" i="22" l="1"/>
  <c r="R43" i="22" s="1"/>
  <c r="M44" i="22"/>
  <c r="M45" i="22" s="1"/>
  <c r="M46" i="22" s="1"/>
  <c r="M47" i="22" s="1"/>
  <c r="M48" i="22" s="1"/>
  <c r="M49" i="22" s="1"/>
  <c r="M50" i="22" s="1"/>
  <c r="M51" i="22" s="1"/>
  <c r="M52" i="22" s="1"/>
  <c r="M53" i="22" s="1"/>
  <c r="M54" i="22" s="1"/>
  <c r="M55" i="22" s="1"/>
  <c r="M56" i="22" s="1"/>
  <c r="M57" i="22" s="1"/>
  <c r="M58" i="22" s="1"/>
  <c r="M59" i="22" s="1"/>
  <c r="M60" i="22" s="1"/>
  <c r="M61" i="22" s="1"/>
  <c r="M62" i="22" s="1"/>
  <c r="M63" i="22" s="1"/>
  <c r="M64" i="22" s="1"/>
  <c r="M65" i="22" s="1"/>
  <c r="M66" i="22" s="1"/>
  <c r="M67" i="22" s="1"/>
  <c r="M68" i="22" s="1"/>
  <c r="M69" i="22" s="1"/>
  <c r="M70" i="22" s="1"/>
  <c r="M71" i="22" s="1"/>
  <c r="M72" i="22" s="1"/>
  <c r="M73" i="22" s="1"/>
  <c r="M74" i="22" s="1"/>
  <c r="M75" i="22" s="1"/>
  <c r="M76" i="22" s="1"/>
  <c r="M77" i="22" s="1"/>
  <c r="M78" i="22" s="1"/>
  <c r="M79" i="22" s="1"/>
  <c r="M80" i="22" s="1"/>
  <c r="M81" i="22" s="1"/>
  <c r="M82" i="22" s="1"/>
  <c r="M83" i="22" s="1"/>
  <c r="M84" i="22" s="1"/>
  <c r="M85" i="22" s="1"/>
  <c r="M86" i="22" s="1"/>
  <c r="M87" i="22" s="1"/>
  <c r="M88" i="22" s="1"/>
  <c r="M89" i="22" s="1"/>
  <c r="M90" i="22" s="1"/>
  <c r="M91" i="22" s="1"/>
  <c r="M92" i="22" s="1"/>
  <c r="M93" i="22" s="1"/>
  <c r="M94" i="22" s="1"/>
  <c r="M95" i="22" s="1"/>
  <c r="M96" i="22" s="1"/>
  <c r="M97" i="22" s="1"/>
  <c r="M98" i="22" s="1"/>
  <c r="M99" i="22" s="1"/>
  <c r="M100" i="22" s="1"/>
  <c r="M101" i="22" s="1"/>
  <c r="M102" i="22" s="1"/>
  <c r="M103" i="22" s="1"/>
  <c r="M104" i="22" s="1"/>
  <c r="M105" i="2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<sst xmlns="http://schemas.openxmlformats.org/spreadsheetml/2006/main" count="584" uniqueCount="387">
  <si>
    <t>Median Year Houses Built as of 2000 Census</t>
  </si>
  <si>
    <t>Fires per 1,000 Population in FY 05</t>
  </si>
  <si>
    <t>Asheville</t>
  </si>
  <si>
    <t>Carrboro</t>
  </si>
  <si>
    <t>Cary</t>
  </si>
  <si>
    <t>Charlotte</t>
  </si>
  <si>
    <t>Concord</t>
  </si>
  <si>
    <t>Durham</t>
  </si>
  <si>
    <t>Gastonia</t>
  </si>
  <si>
    <t>Greensboro</t>
  </si>
  <si>
    <t>Hickory</t>
  </si>
  <si>
    <t>High Point</t>
  </si>
  <si>
    <t>Matthews</t>
  </si>
  <si>
    <t>Raleigh</t>
  </si>
  <si>
    <t>Salisbury</t>
  </si>
  <si>
    <t>Wilmington</t>
  </si>
  <si>
    <t>Wilson</t>
  </si>
  <si>
    <t>Winston-Salem</t>
  </si>
  <si>
    <t>City</t>
  </si>
  <si>
    <t>Fires per 1,000 Population
 in FY 2005</t>
  </si>
  <si>
    <t>Average</t>
  </si>
  <si>
    <t>Fires per 1,000 Population
 in FY 05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</si>
  <si>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</si>
  <si>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</si>
  <si>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</si>
  <si>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</si>
  <si>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</si>
  <si>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</si>
  <si>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</si>
  <si>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</si>
  <si>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</si>
  <si>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</si>
  <si>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</si>
  <si>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</si>
  <si>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</si>
  <si>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</si>
  <si>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</si>
  <si>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</si>
  <si>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</si>
  <si>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</si>
  <si>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</si>
  <si>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</si>
  <si>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</si>
  <si>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</si>
  <si>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</si>
  <si>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</si>
  <si>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Regression Output</t>
  </si>
  <si>
    <t>from Toolpak</t>
  </si>
  <si>
    <t>Regression Trendline within</t>
  </si>
  <si>
    <t>Charts</t>
  </si>
  <si>
    <t>Predicted Fires</t>
  </si>
  <si>
    <t>Example Year</t>
  </si>
  <si>
    <t>Year</t>
  </si>
  <si>
    <t>Property Tax</t>
  </si>
  <si>
    <t>Sales Tax</t>
  </si>
  <si>
    <t>Occupancy Tax</t>
  </si>
  <si>
    <t>Other Tax</t>
  </si>
  <si>
    <t>Total Tax</t>
  </si>
  <si>
    <t>Town of Blue Sky Revenues</t>
  </si>
  <si>
    <t>Actual 7</t>
  </si>
  <si>
    <t>Predicted 7</t>
  </si>
  <si>
    <t>Difference</t>
  </si>
  <si>
    <t>A few Statistical Measures In Excel for measuring the center, the dispersion, or rankings.</t>
  </si>
  <si>
    <t>Category</t>
  </si>
  <si>
    <t>Measure</t>
  </si>
  <si>
    <t>Excel Formula</t>
  </si>
  <si>
    <t>Description</t>
  </si>
  <si>
    <t>Result</t>
  </si>
  <si>
    <t>Additional Argument</t>
  </si>
  <si>
    <t>Central Tendency</t>
  </si>
  <si>
    <t>Minimum</t>
  </si>
  <si>
    <t>=MIN(LIST)</t>
  </si>
  <si>
    <t>Smallest number in list</t>
  </si>
  <si>
    <t>Maximum</t>
  </si>
  <si>
    <t>=MAX(LIST)</t>
  </si>
  <si>
    <t>Largest number in list</t>
  </si>
  <si>
    <t>=AVERAGE(LIST)</t>
  </si>
  <si>
    <t>Arithmetic mean</t>
  </si>
  <si>
    <t>Median</t>
  </si>
  <si>
    <t>=MEDIAN(LIST)</t>
  </si>
  <si>
    <t>Mode</t>
  </si>
  <si>
    <t>=MODE(LIST)</t>
  </si>
  <si>
    <t>Dispersion</t>
  </si>
  <si>
    <t>Range</t>
  </si>
  <si>
    <t>=MAX(LIST)-MIN(LIST)</t>
  </si>
  <si>
    <t>Constructed from MAX and MIN</t>
  </si>
  <si>
    <t>Standard Deviation</t>
  </si>
  <si>
    <t>=STDEV(LIST)</t>
  </si>
  <si>
    <t>Ranking</t>
  </si>
  <si>
    <t>Percentile</t>
  </si>
  <si>
    <t>=PERCENTILE(LIST,percentile)</t>
  </si>
  <si>
    <t>Returns the value at the selected PERCENTILE</t>
  </si>
  <si>
    <t>Percent Rank</t>
  </si>
  <si>
    <t>=PERCENTRANK(LIST,number)</t>
  </si>
  <si>
    <t>Rerturns the percentile for the selected NUMBER</t>
  </si>
  <si>
    <t>Large</t>
  </si>
  <si>
    <t>=LARGE(LIST,X)</t>
  </si>
  <si>
    <t>Returns the Xth largest number</t>
  </si>
  <si>
    <t>Small</t>
  </si>
  <si>
    <t>=SMALL(LIST,X)</t>
  </si>
  <si>
    <t>Returns the Xth smallest number</t>
  </si>
  <si>
    <t>Rank</t>
  </si>
  <si>
    <t>=RANK(number,LIST,ORDER)</t>
  </si>
  <si>
    <t>Returns the rank of a selected number</t>
  </si>
  <si>
    <t>Order</t>
  </si>
  <si>
    <t>LIST</t>
  </si>
  <si>
    <t>State and Local Implicit Price Deflator Index</t>
  </si>
  <si>
    <t>Consumer Price Index Average Annual</t>
  </si>
  <si>
    <t>asheville</t>
  </si>
  <si>
    <t>burlington</t>
  </si>
  <si>
    <t>carrboro</t>
  </si>
  <si>
    <t>cary</t>
  </si>
  <si>
    <t>charlotte</t>
  </si>
  <si>
    <t>concord</t>
  </si>
  <si>
    <t>durham</t>
  </si>
  <si>
    <t>gastonia</t>
  </si>
  <si>
    <t>greensboro</t>
  </si>
  <si>
    <t>greenville</t>
  </si>
  <si>
    <t>hickory</t>
  </si>
  <si>
    <t>high point</t>
  </si>
  <si>
    <t>raleigh</t>
  </si>
  <si>
    <t>salisbury</t>
  </si>
  <si>
    <t>wilmington</t>
  </si>
  <si>
    <t>wilson</t>
  </si>
  <si>
    <t>winston-salem</t>
  </si>
  <si>
    <t>Actual Expenditures</t>
  </si>
  <si>
    <t>Revenue Growth</t>
  </si>
  <si>
    <t>Expense Growth</t>
  </si>
  <si>
    <t>Pct of Expenses</t>
  </si>
  <si>
    <t>Balance</t>
  </si>
  <si>
    <t>Needed Tax to Balance Over 5 years</t>
  </si>
  <si>
    <t>Growth</t>
  </si>
  <si>
    <t>Expenses</t>
  </si>
  <si>
    <t>(net + exp)/(pct*base) = tax rate</t>
  </si>
  <si>
    <t>net + exp = base * tax rate * pct</t>
  </si>
  <si>
    <t>Revenues</t>
  </si>
  <si>
    <t>net + exp = revenue</t>
  </si>
  <si>
    <t>Collection Rate</t>
  </si>
  <si>
    <t>net = revenue - expenses</t>
  </si>
  <si>
    <t>Tax Rate per $100</t>
  </si>
  <si>
    <t>Assessed Property</t>
  </si>
  <si>
    <t>5 year Budget</t>
  </si>
  <si>
    <t>Year 5</t>
  </si>
  <si>
    <t>Year 4</t>
  </si>
  <si>
    <t>Year 3</t>
  </si>
  <si>
    <t>Year 2</t>
  </si>
  <si>
    <t>Year 1</t>
  </si>
  <si>
    <t>Current</t>
  </si>
  <si>
    <t>What If Spreadsheet Example</t>
  </si>
  <si>
    <t>The number of fields used and referees required will turn light red if they use less than the limit</t>
  </si>
  <si>
    <t>The number of fields used and referees required will turn bright red if they exceed the limit</t>
  </si>
  <si>
    <t>The Orange Square is the outcome we wish to maximize</t>
  </si>
  <si>
    <t>Blue Squares are the key assumptions</t>
  </si>
  <si>
    <t>such that</t>
  </si>
  <si>
    <t>Yellow Squares are the inputs to manipulate</t>
  </si>
  <si>
    <t>maximize</t>
  </si>
  <si>
    <t>=Recreation!$F$11</t>
  </si>
  <si>
    <t>KidsPlaying</t>
  </si>
  <si>
    <t>Limit</t>
  </si>
  <si>
    <t>=Recreation!$D$12</t>
  </si>
  <si>
    <t>RefLimit</t>
  </si>
  <si>
    <t>Combined</t>
  </si>
  <si>
    <t>=Recreation!$D$11</t>
  </si>
  <si>
    <t>RefTotal</t>
  </si>
  <si>
    <t>Football</t>
  </si>
  <si>
    <t>=Recreation!$B$9:$B$10</t>
  </si>
  <si>
    <t>Fields</t>
  </si>
  <si>
    <t>Soccer</t>
  </si>
  <si>
    <t>=Recreation!$B$12</t>
  </si>
  <si>
    <t>FieldLimit</t>
  </si>
  <si>
    <t>Kids Playing</t>
  </si>
  <si>
    <t>Kids per Game</t>
  </si>
  <si>
    <t>Refs Needed</t>
  </si>
  <si>
    <t>Refs per Game</t>
  </si>
  <si>
    <t>=Recreation!$B$11</t>
  </si>
  <si>
    <t>FieldTotal</t>
  </si>
  <si>
    <t>KIDS</t>
  </si>
  <si>
    <t>REFEREES</t>
  </si>
  <si>
    <t>Recreational Field Allocation Problem</t>
  </si>
  <si>
    <t>&lt;=</t>
  </si>
  <si>
    <t>&gt;=</t>
  </si>
  <si>
    <t>Actual Expenditure Dollars</t>
  </si>
  <si>
    <t>Capital Budgeting Example for Binary Problems</t>
  </si>
  <si>
    <t>The Town of Blue Heaven has identified a set of 20 capital projects to fund. The tight budget situation has led the board to say only a portion of these projects can be funded. Each project has gone through a rating process with 100 being most favored and 0 being least.  The town would like to select the projects which produce the highest combined rating score.</t>
  </si>
  <si>
    <t>--The council has also said they would like to fund at least two projects in each of their four major goal areas.</t>
  </si>
  <si>
    <t xml:space="preserve">--Due to the tight budgets, the town council has decided to limit the capital budget to $10M.  </t>
  </si>
  <si>
    <t>Which projects should be selected?</t>
  </si>
  <si>
    <t>Capital Projects</t>
  </si>
  <si>
    <t>Public Safety</t>
  </si>
  <si>
    <t>Environmental</t>
  </si>
  <si>
    <t>Infrastructure</t>
  </si>
  <si>
    <t>Recreation</t>
  </si>
  <si>
    <t>Community Rating</t>
  </si>
  <si>
    <t>Build</t>
  </si>
  <si>
    <t>Cost in Millions</t>
  </si>
  <si>
    <t>Rating per $</t>
  </si>
  <si>
    <t>Police Substations</t>
  </si>
  <si>
    <t>Project 1</t>
  </si>
  <si>
    <t>New Fire Station</t>
  </si>
  <si>
    <t>Project 2</t>
  </si>
  <si>
    <t>New Ladder Truck</t>
  </si>
  <si>
    <t>Project 3</t>
  </si>
  <si>
    <t>Upgrade 911 Communications</t>
  </si>
  <si>
    <t>Project 4</t>
  </si>
  <si>
    <t>New Police Cars</t>
  </si>
  <si>
    <t>Project 5</t>
  </si>
  <si>
    <t>Build Stormwater Detention</t>
  </si>
  <si>
    <t>Project 6</t>
  </si>
  <si>
    <t>Energy Efficiency Building Retrofit</t>
  </si>
  <si>
    <t>Project 7</t>
  </si>
  <si>
    <t>Low Energy Streetlights</t>
  </si>
  <si>
    <t>Project 8</t>
  </si>
  <si>
    <t>Stream Improvement and Trail</t>
  </si>
  <si>
    <t>Project 9</t>
  </si>
  <si>
    <t>New Automated Trash Trucks</t>
  </si>
  <si>
    <t>Project 10</t>
  </si>
  <si>
    <t>New Public Works Garage</t>
  </si>
  <si>
    <t>Project 11</t>
  </si>
  <si>
    <t>Water Treatment Upgrade</t>
  </si>
  <si>
    <t>Project 12</t>
  </si>
  <si>
    <t>New Farmers Market</t>
  </si>
  <si>
    <t>Project 13</t>
  </si>
  <si>
    <t>Street Resurfacing</t>
  </si>
  <si>
    <t>Project 14</t>
  </si>
  <si>
    <t>New Sidewalks</t>
  </si>
  <si>
    <t>Project 15</t>
  </si>
  <si>
    <t>Sidewalk Repair</t>
  </si>
  <si>
    <t>Project 16</t>
  </si>
  <si>
    <t>New Recreation Center</t>
  </si>
  <si>
    <t>Project 17</t>
  </si>
  <si>
    <t>New Pool</t>
  </si>
  <si>
    <t>Project 18</t>
  </si>
  <si>
    <t>Park Upgrades</t>
  </si>
  <si>
    <t>Project 19</t>
  </si>
  <si>
    <t>New Park</t>
  </si>
  <si>
    <t>Project 20</t>
  </si>
  <si>
    <t>Projects Selected</t>
  </si>
  <si>
    <t>Total Cost</t>
  </si>
  <si>
    <t>Projects Needed</t>
  </si>
  <si>
    <t>Budget Cap</t>
  </si>
  <si>
    <t>Total Community Rating</t>
  </si>
  <si>
    <t>Excel Formula for straight line depreciation</t>
  </si>
  <si>
    <t>=SLN(Cost, Salvage,Years)</t>
  </si>
  <si>
    <t>Straight Line Depreciation Annual Costs</t>
  </si>
  <si>
    <t>Salvage</t>
  </si>
  <si>
    <t>Years of Life</t>
  </si>
  <si>
    <t>Cost</t>
  </si>
  <si>
    <t>per year</t>
  </si>
  <si>
    <t xml:space="preserve">Lease Costs </t>
  </si>
  <si>
    <t>Place data in Yellow Areas up to 100 data points</t>
  </si>
  <si>
    <t>X-chart title</t>
  </si>
  <si>
    <t>UCL</t>
  </si>
  <si>
    <t>Range chart title</t>
  </si>
  <si>
    <t>LCL</t>
  </si>
  <si>
    <t>WestinghouseRules</t>
  </si>
  <si>
    <t>Avg</t>
  </si>
  <si>
    <t>Original Example</t>
  </si>
  <si>
    <t>Chicago Murders</t>
  </si>
  <si>
    <t>Markers show points where process is outside predictable limits, signal in the data.</t>
  </si>
  <si>
    <t>3sigma</t>
  </si>
  <si>
    <t>2sigma</t>
  </si>
  <si>
    <t>1sigma</t>
  </si>
  <si>
    <t>8inaRow</t>
  </si>
  <si>
    <t>Marker</t>
  </si>
  <si>
    <t>Trip</t>
  </si>
  <si>
    <t>Waiting in Line</t>
  </si>
  <si>
    <t>RangeAvg</t>
  </si>
  <si>
    <t>URL</t>
  </si>
  <si>
    <t>Sigma</t>
  </si>
  <si>
    <t>ABSSigma</t>
  </si>
  <si>
    <t>sign</t>
  </si>
  <si>
    <t>Date</t>
  </si>
  <si>
    <t>Seasonally adjusted Murders</t>
  </si>
  <si>
    <t>Search &amp; Rescue Location</t>
  </si>
  <si>
    <t>County Nearby?</t>
  </si>
  <si>
    <t>County</t>
  </si>
  <si>
    <t>Clallam</t>
  </si>
  <si>
    <t>Jefferson</t>
  </si>
  <si>
    <t>Grays Harbor</t>
  </si>
  <si>
    <t>Pacific</t>
  </si>
  <si>
    <t>Wahkiakum</t>
  </si>
  <si>
    <t>Kitsap</t>
  </si>
  <si>
    <t>Mason</t>
  </si>
  <si>
    <t>Thurston</t>
  </si>
  <si>
    <t>Whatcom</t>
  </si>
  <si>
    <t>Skagit</t>
  </si>
  <si>
    <t>Snohomish</t>
  </si>
  <si>
    <t>King</t>
  </si>
  <si>
    <t>Pierce</t>
  </si>
  <si>
    <t>Lewis</t>
  </si>
  <si>
    <t>Cowlitz</t>
  </si>
  <si>
    <t>Clark</t>
  </si>
  <si>
    <t>Skamania</t>
  </si>
  <si>
    <t>Okanogan</t>
  </si>
  <si>
    <t>Chelan</t>
  </si>
  <si>
    <t>Douglas</t>
  </si>
  <si>
    <t>Kittitas</t>
  </si>
  <si>
    <t>Grant</t>
  </si>
  <si>
    <t>Yakima</t>
  </si>
  <si>
    <t>Klickitat</t>
  </si>
  <si>
    <t>Benton</t>
  </si>
  <si>
    <t>Ferry</t>
  </si>
  <si>
    <t>Stevens</t>
  </si>
  <si>
    <t>Pend Oreille</t>
  </si>
  <si>
    <t>Lincoln</t>
  </si>
  <si>
    <t>Spokane</t>
  </si>
  <si>
    <t>Adams</t>
  </si>
  <si>
    <t>Whitman</t>
  </si>
  <si>
    <t>Franklin</t>
  </si>
  <si>
    <t>Walla Walla</t>
  </si>
  <si>
    <t>Columbia</t>
  </si>
  <si>
    <t>Garfield</t>
  </si>
  <si>
    <t>Asotin</t>
  </si>
  <si>
    <t>Teams nearby</t>
  </si>
  <si>
    <t>Needed</t>
  </si>
  <si>
    <t>Range Name</t>
  </si>
  <si>
    <t>Cells</t>
  </si>
  <si>
    <t>AQ5:AQ41</t>
  </si>
  <si>
    <t>Team?</t>
  </si>
  <si>
    <t>D44:AN44</t>
  </si>
  <si>
    <t>TeamsNearby</t>
  </si>
  <si>
    <t>AO5:AO41</t>
  </si>
  <si>
    <t>TotalTeams</t>
  </si>
  <si>
    <t>AQ44</t>
  </si>
  <si>
    <t>Total Teams</t>
  </si>
  <si>
    <t>King County, Washington</t>
  </si>
  <si>
    <t>Pierce County, Washington</t>
  </si>
  <si>
    <t>Snohomish County, Washington</t>
  </si>
  <si>
    <t>Spokane County, Washington</t>
  </si>
  <si>
    <t>Clark County, Washington</t>
  </si>
  <si>
    <t>Kitsap County, Washington</t>
  </si>
  <si>
    <t>Yakima County, Washington</t>
  </si>
  <si>
    <t>Thurston County, Washington</t>
  </si>
  <si>
    <t>Whatcom County, Washington</t>
  </si>
  <si>
    <t>Benton County, Washington</t>
  </si>
  <si>
    <t>Skagit County, Washington</t>
  </si>
  <si>
    <t>Cowlitz County, Washington</t>
  </si>
  <si>
    <t>Grant County, Washington</t>
  </si>
  <si>
    <t>Island County, Washington</t>
  </si>
  <si>
    <t>Lewis County, Washington</t>
  </si>
  <si>
    <t>Grays Harbor County, Washington</t>
  </si>
  <si>
    <t>Chelan County, Washington</t>
  </si>
  <si>
    <t>Clallam County, Washington</t>
  </si>
  <si>
    <t>Walla Walla County, Washington</t>
  </si>
  <si>
    <t>Mason County, Washington</t>
  </si>
  <si>
    <t>Franklin County, Washington</t>
  </si>
  <si>
    <t>Whitman County, Washington</t>
  </si>
  <si>
    <t>Stevens County, Washington</t>
  </si>
  <si>
    <t>Okanogan County, Washington</t>
  </si>
  <si>
    <t>Kittitas County, Washington</t>
  </si>
  <si>
    <t>Douglas County, Washington</t>
  </si>
  <si>
    <t>Jefferson County, Washington</t>
  </si>
  <si>
    <t>Pacific County, Washington</t>
  </si>
  <si>
    <t>Asotin County, Washington</t>
  </si>
  <si>
    <t>Klickitat County, Washington</t>
  </si>
  <si>
    <t>Adams County, Washington</t>
  </si>
  <si>
    <t>San Juan County, Washington</t>
  </si>
  <si>
    <t>Pend Oreille County, Washington</t>
  </si>
  <si>
    <t>Lincoln County, Washington</t>
  </si>
  <si>
    <t>Skamania County, Washington</t>
  </si>
  <si>
    <t>Ferry County, Washington</t>
  </si>
  <si>
    <t>Columbia County, Washington</t>
  </si>
  <si>
    <t>Wahkiakum County, Washington</t>
  </si>
  <si>
    <t>Garfield County, Washington</t>
  </si>
  <si>
    <t>Engine Company</t>
  </si>
  <si>
    <t>Shift</t>
  </si>
  <si>
    <t>A-Turnout</t>
  </si>
  <si>
    <t>B-Turnout</t>
  </si>
  <si>
    <t>C-Turnout</t>
  </si>
  <si>
    <t>Inflation Adjusted Spending Using State and Local Price Deflator in 2010 Dollars</t>
  </si>
  <si>
    <t>State and Local Inflation Adjusted Expenditures-2019 Dollars</t>
  </si>
  <si>
    <t>CPI Inflation Adjusted Expenditures-2019 Dollars</t>
  </si>
  <si>
    <t>Durham County Gross Sales Tax Collections</t>
  </si>
  <si>
    <t>Month</t>
  </si>
  <si>
    <t>Gross Sales Tax</t>
  </si>
  <si>
    <t>Orangutan</t>
  </si>
  <si>
    <t>Peacock</t>
  </si>
  <si>
    <t>Llama</t>
  </si>
  <si>
    <t>Eel</t>
  </si>
  <si>
    <t>State</t>
  </si>
  <si>
    <t>DMV Waiting Time Data</t>
  </si>
  <si>
    <t>Multiple Modes</t>
  </si>
  <si>
    <t>=MODE.MULT(List)</t>
  </si>
  <si>
    <t>=QUARTILE.EXC(List,#)</t>
  </si>
  <si>
    <t>PercentRank is the same as a FRACTILE measure</t>
  </si>
  <si>
    <t>State and Local Implicit Price Deflator Index
2017=100</t>
  </si>
  <si>
    <t>State and Local Implicit Price Deflator 2017=100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</si>
</sst>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"/>
    <numFmt numFmtId="167" formatCode="_(&quot;$&quot;* #,##0.0000_);_(&quot;$&quot;* \(#,##0.0000\);_(&quot;$&quot;* &quot;-&quot;??_);_(@_)"/>
    <numFmt numFmtId="168" formatCode="#,##0.0000"/>
    <numFmt numFmtId="169" formatCode="&quot;$&quot;#,##0.0000"/>
    <numFmt numFmtId="170" formatCode="&quot;$&quot;#,##0.00000"/>
    <numFmt numFmtId="171" formatCode="#0.0"/>
    <numFmt numFmtId="172" formatCode="#0.000"/>
    <numFmt numFmtId="173" formatCode="&quot;$&quot;#,##0.0"/>
    <numFmt numFmtId="174" formatCode="0.0"/>
    <numFmt numFmtId="175" formatCode="&quot;$&quot;#,##0.00"/>
    <numFmt numFmtId="176" formatCode="&quot;$&quot;#,##0.0_);[Red]\(&quot;$&quot;#,##0.0\)"/>
    <numFmt numFmtId="177" formatCode="0.000"/>
    <numFmt numFmtId="178" formatCode="[$-409]mmm\-yy;@"/>
    <numFmt numFmtId="179" formatCode="0.00,,&quot; $M&quot;"/>
  </numFmts>
  <fonts count="27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2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indexed="8"/>
      <name val="Arial"/>
      <family val="2"/>
    </font>
    <font>
      <b/>
      <sz val="12"/>
      <name val="Verdana"/>
      <family val="2"/>
    </font>
    <font>
      <sz val="9"/>
      <name val="Geneva"/>
    </font>
    <font>
      <b/>
      <sz val="14"/>
      <name val="Arial"/>
      <family val="2"/>
    </font>
    <font>
      <b/>
      <sz val="12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4" borderId="1" applyNumberFormat="0" applyFont="0" applyAlignment="0" applyProtection="0">
      <alignment horizontal="left"/>
    </xf>
    <xf numFmtId="43" fontId="2" fillId="0" borderId="0" applyFont="0" applyFill="0" applyBorder="0" applyAlignment="0" applyProtection="0"/>
    <xf numFmtId="0" fontId="14" fillId="17" borderId="0" applyNumberFormat="0" applyFont="0" applyAlignment="0" applyProtection="0">
      <alignment horizontal="left"/>
    </xf>
    <xf numFmtId="0" fontId="15" fillId="0" borderId="0"/>
    <xf numFmtId="0" fontId="14" fillId="14" borderId="17" applyNumberFormat="0" applyFont="0" applyAlignment="0" applyProtection="0">
      <alignment horizontal="left"/>
    </xf>
    <xf numFmtId="0" fontId="2" fillId="0" borderId="0"/>
    <xf numFmtId="44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0" fillId="0" borderId="0"/>
    <xf numFmtId="9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293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 applyAlignment="1">
      <alignment horizontal="center" vertical="center"/>
    </xf>
    <xf numFmtId="0" fontId="0" fillId="0" borderId="2" xfId="0" applyBorder="1"/>
    <xf numFmtId="0" fontId="7" fillId="0" borderId="3" xfId="0" applyFont="1" applyBorder="1" applyAlignment="1">
      <alignment horizontal="center"/>
    </xf>
    <xf numFmtId="0" fontId="0" fillId="6" borderId="0" xfId="0" applyFill="1"/>
    <xf numFmtId="0" fontId="7" fillId="6" borderId="3" xfId="0" applyFont="1" applyFill="1" applyBorder="1" applyAlignment="1">
      <alignment horizontal="center"/>
    </xf>
    <xf numFmtId="0" fontId="0" fillId="6" borderId="2" xfId="0" applyFill="1" applyBorder="1"/>
    <xf numFmtId="0" fontId="0" fillId="0" borderId="4" xfId="0" applyBorder="1"/>
    <xf numFmtId="0" fontId="0" fillId="0" borderId="5" xfId="0" applyBorder="1"/>
    <xf numFmtId="0" fontId="7" fillId="0" borderId="6" xfId="0" applyFont="1" applyBorder="1" applyAlignment="1">
      <alignment horizontal="centerContinuous"/>
    </xf>
    <xf numFmtId="0" fontId="0" fillId="6" borderId="5" xfId="0" applyFill="1" applyBorder="1"/>
    <xf numFmtId="0" fontId="0" fillId="0" borderId="7" xfId="0" applyBorder="1"/>
    <xf numFmtId="0" fontId="7" fillId="0" borderId="6" xfId="0" applyFont="1" applyBorder="1" applyAlignment="1">
      <alignment horizontal="center"/>
    </xf>
    <xf numFmtId="0" fontId="0" fillId="6" borderId="7" xfId="0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7" fillId="0" borderId="12" xfId="0" applyFont="1" applyBorder="1" applyAlignment="1">
      <alignment horizontal="centerContinuous"/>
    </xf>
    <xf numFmtId="0" fontId="0" fillId="6" borderId="10" xfId="0" applyFill="1" applyBorder="1"/>
    <xf numFmtId="0" fontId="8" fillId="0" borderId="0" xfId="0" applyFont="1"/>
    <xf numFmtId="2" fontId="0" fillId="6" borderId="1" xfId="0" applyNumberForma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164" fontId="6" fillId="0" borderId="0" xfId="1" applyNumberFormat="1" applyFont="1"/>
    <xf numFmtId="164" fontId="6" fillId="0" borderId="1" xfId="1" applyNumberFormat="1" applyFont="1" applyBorder="1" applyAlignment="1">
      <alignment horizontal="center" vertical="center"/>
    </xf>
    <xf numFmtId="164" fontId="6" fillId="0" borderId="1" xfId="1" applyNumberFormat="1" applyFont="1" applyBorder="1"/>
    <xf numFmtId="0" fontId="9" fillId="0" borderId="0" xfId="0" applyFont="1"/>
    <xf numFmtId="164" fontId="6" fillId="0" borderId="0" xfId="1" applyNumberFormat="1" applyFont="1" applyBorder="1"/>
    <xf numFmtId="165" fontId="6" fillId="6" borderId="1" xfId="2" applyNumberFormat="1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10" fillId="0" borderId="0" xfId="0" applyFont="1"/>
    <xf numFmtId="164" fontId="10" fillId="0" borderId="0" xfId="1" applyNumberFormat="1" applyFont="1" applyBorder="1" applyAlignment="1">
      <alignment horizontal="center" vertical="center"/>
    </xf>
    <xf numFmtId="164" fontId="10" fillId="0" borderId="0" xfId="1" applyNumberFormat="1" applyFont="1" applyBorder="1"/>
    <xf numFmtId="0" fontId="2" fillId="7" borderId="0" xfId="0" applyFont="1" applyFill="1"/>
    <xf numFmtId="0" fontId="0" fillId="7" borderId="0" xfId="0" applyFill="1"/>
    <xf numFmtId="0" fontId="3" fillId="7" borderId="0" xfId="0" applyFont="1" applyFill="1"/>
    <xf numFmtId="0" fontId="4" fillId="8" borderId="1" xfId="0" applyFont="1" applyFill="1" applyBorder="1"/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wrapText="1"/>
    </xf>
    <xf numFmtId="0" fontId="2" fillId="6" borderId="1" xfId="0" applyFont="1" applyFill="1" applyBorder="1"/>
    <xf numFmtId="0" fontId="2" fillId="6" borderId="1" xfId="0" quotePrefix="1" applyFont="1" applyFill="1" applyBorder="1"/>
    <xf numFmtId="0" fontId="2" fillId="6" borderId="1" xfId="0" applyFont="1" applyFill="1" applyBorder="1" applyAlignment="1">
      <alignment wrapText="1"/>
    </xf>
    <xf numFmtId="0" fontId="2" fillId="6" borderId="1" xfId="0" applyFont="1" applyFill="1" applyBorder="1" applyAlignment="1">
      <alignment horizontal="center"/>
    </xf>
    <xf numFmtId="0" fontId="2" fillId="9" borderId="1" xfId="0" applyFont="1" applyFill="1" applyBorder="1"/>
    <xf numFmtId="0" fontId="2" fillId="9" borderId="1" xfId="0" quotePrefix="1" applyFont="1" applyFill="1" applyBorder="1"/>
    <xf numFmtId="0" fontId="2" fillId="9" borderId="1" xfId="0" applyFont="1" applyFill="1" applyBorder="1" applyAlignment="1">
      <alignment wrapText="1"/>
    </xf>
    <xf numFmtId="0" fontId="2" fillId="9" borderId="1" xfId="0" applyFont="1" applyFill="1" applyBorder="1" applyAlignment="1">
      <alignment horizontal="center"/>
    </xf>
    <xf numFmtId="0" fontId="2" fillId="10" borderId="1" xfId="0" applyFont="1" applyFill="1" applyBorder="1"/>
    <xf numFmtId="0" fontId="2" fillId="10" borderId="1" xfId="0" quotePrefix="1" applyFont="1" applyFill="1" applyBorder="1"/>
    <xf numFmtId="0" fontId="2" fillId="10" borderId="1" xfId="0" applyFont="1" applyFill="1" applyBorder="1" applyAlignment="1">
      <alignment wrapText="1"/>
    </xf>
    <xf numFmtId="0" fontId="2" fillId="10" borderId="1" xfId="0" applyFont="1" applyFill="1" applyBorder="1" applyAlignment="1">
      <alignment horizontal="center"/>
    </xf>
    <xf numFmtId="165" fontId="2" fillId="10" borderId="1" xfId="2" applyNumberFormat="1" applyFont="1" applyFill="1" applyBorder="1" applyAlignment="1">
      <alignment horizontal="center"/>
    </xf>
    <xf numFmtId="0" fontId="2" fillId="10" borderId="1" xfId="2" applyNumberFormat="1" applyFont="1" applyFill="1" applyBorder="1"/>
    <xf numFmtId="0" fontId="2" fillId="10" borderId="1" xfId="0" quotePrefix="1" applyFont="1" applyFill="1" applyBorder="1" applyAlignment="1">
      <alignment wrapText="1"/>
    </xf>
    <xf numFmtId="0" fontId="2" fillId="10" borderId="1" xfId="0" quotePrefix="1" applyFont="1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11" fillId="0" borderId="16" xfId="0" applyFont="1" applyBorder="1" applyAlignment="1">
      <alignment vertical="top" wrapText="1"/>
    </xf>
    <xf numFmtId="0" fontId="11" fillId="0" borderId="0" xfId="0" applyFont="1"/>
    <xf numFmtId="0" fontId="11" fillId="0" borderId="0" xfId="0" applyFont="1" applyAlignment="1">
      <alignment wrapText="1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12" fillId="0" borderId="0" xfId="3"/>
    <xf numFmtId="167" fontId="12" fillId="0" borderId="0" xfId="4" applyNumberFormat="1" applyFont="1"/>
    <xf numFmtId="165" fontId="12" fillId="3" borderId="0" xfId="5" applyNumberFormat="1" applyFont="1" applyFill="1"/>
    <xf numFmtId="0" fontId="12" fillId="3" borderId="0" xfId="3" applyFill="1"/>
    <xf numFmtId="9" fontId="12" fillId="5" borderId="0" xfId="5" applyFont="1" applyFill="1"/>
    <xf numFmtId="0" fontId="12" fillId="5" borderId="0" xfId="3" applyFill="1"/>
    <xf numFmtId="168" fontId="12" fillId="0" borderId="0" xfId="3" applyNumberFormat="1"/>
    <xf numFmtId="168" fontId="12" fillId="0" borderId="0" xfId="5" applyNumberFormat="1" applyFont="1"/>
    <xf numFmtId="168" fontId="12" fillId="0" borderId="0" xfId="4" applyNumberFormat="1" applyFont="1"/>
    <xf numFmtId="169" fontId="12" fillId="0" borderId="0" xfId="3" applyNumberFormat="1"/>
    <xf numFmtId="170" fontId="12" fillId="0" borderId="0" xfId="3" applyNumberFormat="1"/>
    <xf numFmtId="9" fontId="12" fillId="3" borderId="0" xfId="5" applyFont="1" applyFill="1"/>
    <xf numFmtId="165" fontId="5" fillId="0" borderId="17" xfId="5" applyNumberFormat="1" applyFont="1" applyBorder="1" applyAlignment="1">
      <alignment horizontal="center"/>
    </xf>
    <xf numFmtId="165" fontId="5" fillId="0" borderId="18" xfId="5" applyNumberFormat="1" applyFont="1" applyBorder="1" applyAlignment="1">
      <alignment horizontal="center"/>
    </xf>
    <xf numFmtId="165" fontId="5" fillId="0" borderId="19" xfId="5" applyNumberFormat="1" applyFont="1" applyBorder="1" applyAlignment="1">
      <alignment horizontal="center"/>
    </xf>
    <xf numFmtId="0" fontId="5" fillId="0" borderId="17" xfId="3" applyFont="1" applyBorder="1"/>
    <xf numFmtId="166" fontId="13" fillId="14" borderId="17" xfId="3" applyNumberFormat="1" applyFont="1" applyFill="1" applyBorder="1"/>
    <xf numFmtId="166" fontId="13" fillId="0" borderId="20" xfId="3" applyNumberFormat="1" applyFont="1" applyBorder="1"/>
    <xf numFmtId="166" fontId="13" fillId="0" borderId="18" xfId="3" applyNumberFormat="1" applyFont="1" applyBorder="1"/>
    <xf numFmtId="166" fontId="13" fillId="0" borderId="19" xfId="3" applyNumberFormat="1" applyFont="1" applyBorder="1"/>
    <xf numFmtId="166" fontId="13" fillId="15" borderId="17" xfId="3" applyNumberFormat="1" applyFont="1" applyFill="1" applyBorder="1"/>
    <xf numFmtId="0" fontId="13" fillId="0" borderId="19" xfId="3" applyFont="1" applyBorder="1"/>
    <xf numFmtId="0" fontId="12" fillId="0" borderId="21" xfId="3" applyBorder="1"/>
    <xf numFmtId="9" fontId="12" fillId="0" borderId="10" xfId="3" applyNumberFormat="1" applyBorder="1"/>
    <xf numFmtId="9" fontId="12" fillId="0" borderId="0" xfId="3" applyNumberFormat="1"/>
    <xf numFmtId="9" fontId="12" fillId="0" borderId="5" xfId="3" applyNumberFormat="1" applyBorder="1"/>
    <xf numFmtId="0" fontId="12" fillId="15" borderId="21" xfId="3" applyFill="1" applyBorder="1"/>
    <xf numFmtId="0" fontId="5" fillId="13" borderId="9" xfId="3" applyFont="1" applyFill="1" applyBorder="1"/>
    <xf numFmtId="0" fontId="5" fillId="13" borderId="8" xfId="3" applyFont="1" applyFill="1" applyBorder="1"/>
    <xf numFmtId="9" fontId="12" fillId="0" borderId="10" xfId="3" applyNumberFormat="1" applyBorder="1" applyAlignment="1">
      <alignment horizontal="center"/>
    </xf>
    <xf numFmtId="9" fontId="12" fillId="0" borderId="0" xfId="3" applyNumberFormat="1" applyAlignment="1">
      <alignment horizontal="center"/>
    </xf>
    <xf numFmtId="9" fontId="12" fillId="0" borderId="5" xfId="3" applyNumberFormat="1" applyBorder="1" applyAlignment="1">
      <alignment horizontal="center"/>
    </xf>
    <xf numFmtId="0" fontId="12" fillId="0" borderId="0" xfId="3" applyAlignment="1">
      <alignment horizontal="left" indent="1"/>
    </xf>
    <xf numFmtId="0" fontId="12" fillId="13" borderId="0" xfId="3" applyFill="1"/>
    <xf numFmtId="166" fontId="13" fillId="0" borderId="21" xfId="3" applyNumberFormat="1" applyFont="1" applyBorder="1"/>
    <xf numFmtId="166" fontId="13" fillId="0" borderId="10" xfId="3" applyNumberFormat="1" applyFont="1" applyBorder="1"/>
    <xf numFmtId="166" fontId="13" fillId="0" borderId="0" xfId="3" applyNumberFormat="1" applyFont="1"/>
    <xf numFmtId="166" fontId="13" fillId="0" borderId="5" xfId="3" applyNumberFormat="1" applyFont="1" applyBorder="1"/>
    <xf numFmtId="166" fontId="13" fillId="15" borderId="21" xfId="3" applyNumberFormat="1" applyFont="1" applyFill="1" applyBorder="1"/>
    <xf numFmtId="0" fontId="13" fillId="0" borderId="0" xfId="3" applyFont="1"/>
    <xf numFmtId="0" fontId="12" fillId="0" borderId="10" xfId="3" applyBorder="1"/>
    <xf numFmtId="0" fontId="12" fillId="0" borderId="5" xfId="3" applyBorder="1"/>
    <xf numFmtId="166" fontId="13" fillId="0" borderId="17" xfId="3" applyNumberFormat="1" applyFont="1" applyBorder="1"/>
    <xf numFmtId="9" fontId="12" fillId="0" borderId="21" xfId="3" applyNumberFormat="1" applyBorder="1"/>
    <xf numFmtId="165" fontId="12" fillId="0" borderId="10" xfId="3" applyNumberFormat="1" applyBorder="1" applyAlignment="1">
      <alignment horizontal="center"/>
    </xf>
    <xf numFmtId="165" fontId="12" fillId="0" borderId="0" xfId="3" applyNumberFormat="1" applyAlignment="1">
      <alignment horizontal="center"/>
    </xf>
    <xf numFmtId="165" fontId="12" fillId="0" borderId="5" xfId="3" applyNumberFormat="1" applyBorder="1" applyAlignment="1">
      <alignment horizontal="center"/>
    </xf>
    <xf numFmtId="165" fontId="12" fillId="15" borderId="21" xfId="3" applyNumberFormat="1" applyFill="1" applyBorder="1"/>
    <xf numFmtId="167" fontId="12" fillId="0" borderId="21" xfId="3" applyNumberFormat="1" applyBorder="1"/>
    <xf numFmtId="167" fontId="12" fillId="0" borderId="10" xfId="3" applyNumberFormat="1" applyBorder="1"/>
    <xf numFmtId="167" fontId="12" fillId="0" borderId="0" xfId="3" applyNumberFormat="1"/>
    <xf numFmtId="167" fontId="12" fillId="16" borderId="5" xfId="3" applyNumberFormat="1" applyFill="1" applyBorder="1"/>
    <xf numFmtId="167" fontId="12" fillId="15" borderId="21" xfId="4" applyNumberFormat="1" applyFont="1" applyFill="1" applyBorder="1"/>
    <xf numFmtId="0" fontId="12" fillId="16" borderId="0" xfId="3" applyFill="1"/>
    <xf numFmtId="166" fontId="12" fillId="0" borderId="17" xfId="3" applyNumberFormat="1" applyBorder="1"/>
    <xf numFmtId="166" fontId="12" fillId="0" borderId="20" xfId="3" applyNumberFormat="1" applyBorder="1"/>
    <xf numFmtId="166" fontId="12" fillId="0" borderId="18" xfId="3" applyNumberFormat="1" applyBorder="1"/>
    <xf numFmtId="166" fontId="12" fillId="0" borderId="19" xfId="3" applyNumberFormat="1" applyBorder="1"/>
    <xf numFmtId="166" fontId="12" fillId="15" borderId="17" xfId="3" applyNumberFormat="1" applyFill="1" applyBorder="1"/>
    <xf numFmtId="0" fontId="12" fillId="0" borderId="19" xfId="3" applyBorder="1"/>
    <xf numFmtId="0" fontId="5" fillId="17" borderId="17" xfId="3" applyFont="1" applyFill="1" applyBorder="1" applyAlignment="1">
      <alignment horizontal="center"/>
    </xf>
    <xf numFmtId="0" fontId="5" fillId="17" borderId="20" xfId="3" applyFont="1" applyFill="1" applyBorder="1" applyAlignment="1">
      <alignment horizontal="center"/>
    </xf>
    <xf numFmtId="0" fontId="5" fillId="17" borderId="18" xfId="3" applyFont="1" applyFill="1" applyBorder="1" applyAlignment="1">
      <alignment horizontal="center"/>
    </xf>
    <xf numFmtId="0" fontId="5" fillId="17" borderId="19" xfId="3" applyFont="1" applyFill="1" applyBorder="1" applyAlignment="1">
      <alignment horizontal="center"/>
    </xf>
    <xf numFmtId="0" fontId="5" fillId="15" borderId="17" xfId="3" applyFont="1" applyFill="1" applyBorder="1" applyAlignment="1">
      <alignment horizontal="center"/>
    </xf>
    <xf numFmtId="0" fontId="2" fillId="0" borderId="0" xfId="11"/>
    <xf numFmtId="0" fontId="2" fillId="2" borderId="0" xfId="11" applyFill="1"/>
    <xf numFmtId="0" fontId="2" fillId="18" borderId="0" xfId="11" applyFill="1"/>
    <xf numFmtId="0" fontId="2" fillId="2" borderId="22" xfId="11" applyFill="1" applyBorder="1"/>
    <xf numFmtId="0" fontId="2" fillId="2" borderId="23" xfId="11" applyFill="1" applyBorder="1"/>
    <xf numFmtId="0" fontId="2" fillId="13" borderId="0" xfId="11" applyFill="1"/>
    <xf numFmtId="0" fontId="2" fillId="2" borderId="24" xfId="11" applyFill="1" applyBorder="1"/>
    <xf numFmtId="0" fontId="2" fillId="2" borderId="25" xfId="11" applyFill="1" applyBorder="1"/>
    <xf numFmtId="0" fontId="2" fillId="4" borderId="0" xfId="11" applyFill="1"/>
    <xf numFmtId="0" fontId="2" fillId="2" borderId="26" xfId="11" applyFill="1" applyBorder="1"/>
    <xf numFmtId="0" fontId="2" fillId="2" borderId="27" xfId="11" applyFill="1" applyBorder="1"/>
    <xf numFmtId="0" fontId="2" fillId="9" borderId="0" xfId="11" applyFill="1"/>
    <xf numFmtId="0" fontId="2" fillId="2" borderId="0" xfId="11" applyFill="1" applyAlignment="1">
      <alignment horizontal="center"/>
    </xf>
    <xf numFmtId="0" fontId="2" fillId="13" borderId="15" xfId="11" applyFill="1" applyBorder="1" applyAlignment="1">
      <alignment horizontal="center"/>
    </xf>
    <xf numFmtId="0" fontId="4" fillId="2" borderId="0" xfId="11" applyFont="1" applyFill="1"/>
    <xf numFmtId="0" fontId="4" fillId="18" borderId="28" xfId="11" applyFont="1" applyFill="1" applyBorder="1" applyAlignment="1">
      <alignment horizontal="center"/>
    </xf>
    <xf numFmtId="0" fontId="2" fillId="2" borderId="18" xfId="11" applyFill="1" applyBorder="1" applyAlignment="1">
      <alignment horizontal="center"/>
    </xf>
    <xf numFmtId="0" fontId="2" fillId="19" borderId="29" xfId="11" applyFill="1" applyBorder="1" applyAlignment="1">
      <alignment horizontal="center"/>
    </xf>
    <xf numFmtId="0" fontId="2" fillId="2" borderId="13" xfId="11" applyFill="1" applyBorder="1" applyAlignment="1">
      <alignment horizontal="center"/>
    </xf>
    <xf numFmtId="0" fontId="2" fillId="13" borderId="13" xfId="11" applyFill="1" applyBorder="1" applyAlignment="1">
      <alignment horizontal="center"/>
    </xf>
    <xf numFmtId="0" fontId="2" fillId="4" borderId="13" xfId="11" applyFill="1" applyBorder="1" applyAlignment="1">
      <alignment horizontal="center"/>
    </xf>
    <xf numFmtId="0" fontId="2" fillId="2" borderId="1" xfId="11" applyFill="1" applyBorder="1" applyAlignment="1">
      <alignment horizontal="center"/>
    </xf>
    <xf numFmtId="0" fontId="2" fillId="13" borderId="1" xfId="11" applyFill="1" applyBorder="1" applyAlignment="1">
      <alignment horizontal="center"/>
    </xf>
    <xf numFmtId="0" fontId="2" fillId="4" borderId="1" xfId="11" applyFill="1" applyBorder="1" applyAlignment="1">
      <alignment horizontal="center"/>
    </xf>
    <xf numFmtId="0" fontId="16" fillId="2" borderId="0" xfId="11" applyFont="1" applyFill="1"/>
    <xf numFmtId="0" fontId="11" fillId="0" borderId="1" xfId="0" applyFont="1" applyBorder="1" applyAlignment="1">
      <alignment horizontal="right"/>
    </xf>
    <xf numFmtId="0" fontId="2" fillId="0" borderId="0" xfId="0" applyFont="1"/>
    <xf numFmtId="0" fontId="17" fillId="20" borderId="1" xfId="0" applyFont="1" applyFill="1" applyBorder="1" applyAlignment="1">
      <alignment horizontal="center" vertical="center" wrapText="1"/>
    </xf>
    <xf numFmtId="171" fontId="1" fillId="0" borderId="0" xfId="14" applyNumberFormat="1" applyFont="1" applyAlignment="1">
      <alignment horizontal="right"/>
    </xf>
    <xf numFmtId="172" fontId="1" fillId="0" borderId="0" xfId="14" applyNumberFormat="1" applyFont="1" applyAlignment="1">
      <alignment horizontal="right"/>
    </xf>
    <xf numFmtId="0" fontId="19" fillId="0" borderId="0" xfId="0" applyFont="1"/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wrapText="1"/>
    </xf>
    <xf numFmtId="0" fontId="19" fillId="0" borderId="13" xfId="0" applyFont="1" applyBorder="1"/>
    <xf numFmtId="0" fontId="19" fillId="0" borderId="14" xfId="0" applyFont="1" applyBorder="1"/>
    <xf numFmtId="0" fontId="19" fillId="0" borderId="15" xfId="0" applyFont="1" applyBorder="1"/>
    <xf numFmtId="0" fontId="19" fillId="0" borderId="13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8" fillId="0" borderId="3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21" fillId="0" borderId="0" xfId="3" applyFont="1"/>
    <xf numFmtId="0" fontId="12" fillId="0" borderId="0" xfId="3" applyAlignment="1">
      <alignment horizontal="center"/>
    </xf>
    <xf numFmtId="0" fontId="12" fillId="0" borderId="0" xfId="3" quotePrefix="1"/>
    <xf numFmtId="0" fontId="22" fillId="8" borderId="0" xfId="3" applyFont="1" applyFill="1"/>
    <xf numFmtId="0" fontId="12" fillId="8" borderId="0" xfId="3" applyFill="1"/>
    <xf numFmtId="0" fontId="12" fillId="8" borderId="0" xfId="3" quotePrefix="1" applyFill="1"/>
    <xf numFmtId="0" fontId="12" fillId="0" borderId="1" xfId="3" applyBorder="1" applyAlignment="1">
      <alignment horizontal="center"/>
    </xf>
    <xf numFmtId="0" fontId="12" fillId="0" borderId="27" xfId="3" applyBorder="1" applyAlignment="1">
      <alignment horizontal="center"/>
    </xf>
    <xf numFmtId="0" fontId="12" fillId="0" borderId="30" xfId="3" applyBorder="1" applyAlignment="1">
      <alignment horizontal="center" wrapText="1"/>
    </xf>
    <xf numFmtId="0" fontId="12" fillId="0" borderId="0" xfId="3" applyAlignment="1">
      <alignment horizontal="center" vertical="center"/>
    </xf>
    <xf numFmtId="0" fontId="12" fillId="0" borderId="30" xfId="3" applyBorder="1" applyAlignment="1">
      <alignment horizontal="center" vertical="center" wrapText="1"/>
    </xf>
    <xf numFmtId="0" fontId="12" fillId="0" borderId="0" xfId="3" applyAlignment="1">
      <alignment horizontal="center" vertical="center" wrapText="1"/>
    </xf>
    <xf numFmtId="0" fontId="12" fillId="0" borderId="1" xfId="3" applyBorder="1"/>
    <xf numFmtId="0" fontId="12" fillId="21" borderId="0" xfId="3" applyFill="1" applyAlignment="1">
      <alignment horizontal="center" vertical="center"/>
    </xf>
    <xf numFmtId="0" fontId="0" fillId="21" borderId="1" xfId="15" applyNumberFormat="1" applyFont="1" applyFill="1" applyBorder="1" applyAlignment="1">
      <alignment horizontal="center" vertical="center"/>
    </xf>
    <xf numFmtId="1" fontId="12" fillId="11" borderId="1" xfId="3" applyNumberFormat="1" applyFill="1" applyBorder="1" applyAlignment="1">
      <alignment horizontal="center"/>
    </xf>
    <xf numFmtId="173" fontId="12" fillId="21" borderId="1" xfId="3" applyNumberFormat="1" applyFill="1" applyBorder="1" applyAlignment="1">
      <alignment horizontal="center" vertical="center"/>
    </xf>
    <xf numFmtId="174" fontId="12" fillId="0" borderId="0" xfId="3" applyNumberFormat="1"/>
    <xf numFmtId="175" fontId="12" fillId="0" borderId="0" xfId="3" applyNumberFormat="1"/>
    <xf numFmtId="173" fontId="12" fillId="7" borderId="17" xfId="3" applyNumberFormat="1" applyFill="1" applyBorder="1" applyAlignment="1">
      <alignment horizontal="center"/>
    </xf>
    <xf numFmtId="176" fontId="23" fillId="21" borderId="0" xfId="3" applyNumberFormat="1" applyFont="1" applyFill="1" applyAlignment="1">
      <alignment horizontal="center" vertical="center"/>
    </xf>
    <xf numFmtId="0" fontId="12" fillId="0" borderId="0" xfId="3" applyAlignment="1">
      <alignment horizontal="right"/>
    </xf>
    <xf numFmtId="0" fontId="23" fillId="22" borderId="17" xfId="3" applyFont="1" applyFill="1" applyBorder="1" applyAlignment="1">
      <alignment horizontal="center" vertical="center"/>
    </xf>
    <xf numFmtId="169" fontId="5" fillId="13" borderId="4" xfId="3" applyNumberFormat="1" applyFont="1" applyFill="1" applyBorder="1"/>
    <xf numFmtId="0" fontId="0" fillId="7" borderId="0" xfId="0" quotePrefix="1" applyFill="1"/>
    <xf numFmtId="6" fontId="0" fillId="7" borderId="15" xfId="0" applyNumberFormat="1" applyFill="1" applyBorder="1"/>
    <xf numFmtId="0" fontId="0" fillId="7" borderId="15" xfId="0" applyFill="1" applyBorder="1" applyAlignment="1">
      <alignment wrapText="1"/>
    </xf>
    <xf numFmtId="0" fontId="0" fillId="7" borderId="32" xfId="0" applyFill="1" applyBorder="1"/>
    <xf numFmtId="0" fontId="0" fillId="7" borderId="1" xfId="0" applyFill="1" applyBorder="1"/>
    <xf numFmtId="6" fontId="0" fillId="7" borderId="1" xfId="0" applyNumberFormat="1" applyFill="1" applyBorder="1"/>
    <xf numFmtId="6" fontId="0" fillId="7" borderId="0" xfId="0" applyNumberFormat="1" applyFill="1"/>
    <xf numFmtId="6" fontId="0" fillId="7" borderId="32" xfId="0" applyNumberFormat="1" applyFill="1" applyBorder="1"/>
    <xf numFmtId="0" fontId="24" fillId="0" borderId="0" xfId="0" applyFont="1"/>
    <xf numFmtId="0" fontId="0" fillId="18" borderId="1" xfId="0" applyFill="1" applyBorder="1"/>
    <xf numFmtId="0" fontId="0" fillId="24" borderId="0" xfId="0" applyFill="1"/>
    <xf numFmtId="0" fontId="0" fillId="11" borderId="1" xfId="0" applyFill="1" applyBorder="1"/>
    <xf numFmtId="177" fontId="0" fillId="0" borderId="0" xfId="0" applyNumberFormat="1"/>
    <xf numFmtId="14" fontId="0" fillId="25" borderId="0" xfId="0" applyNumberFormat="1" applyFill="1"/>
    <xf numFmtId="2" fontId="0" fillId="25" borderId="0" xfId="0" applyNumberFormat="1" applyFill="1"/>
    <xf numFmtId="0" fontId="16" fillId="0" borderId="0" xfId="9" applyFont="1"/>
    <xf numFmtId="0" fontId="16" fillId="0" borderId="0" xfId="9" applyFont="1" applyAlignment="1">
      <alignment horizontal="center"/>
    </xf>
    <xf numFmtId="0" fontId="25" fillId="0" borderId="0" xfId="9" applyFont="1" applyAlignment="1">
      <alignment horizontal="left"/>
    </xf>
    <xf numFmtId="0" fontId="25" fillId="0" borderId="0" xfId="9" applyFont="1"/>
    <xf numFmtId="0" fontId="25" fillId="0" borderId="0" xfId="9" applyFont="1" applyAlignment="1">
      <alignment horizontal="center"/>
    </xf>
    <xf numFmtId="0" fontId="25" fillId="0" borderId="0" xfId="9" applyFont="1" applyAlignment="1">
      <alignment horizontal="left" textRotation="90"/>
    </xf>
    <xf numFmtId="0" fontId="25" fillId="0" borderId="0" xfId="9" applyFont="1" applyAlignment="1">
      <alignment textRotation="90"/>
    </xf>
    <xf numFmtId="0" fontId="25" fillId="17" borderId="0" xfId="9" applyFont="1" applyFill="1" applyAlignment="1">
      <alignment horizontal="center"/>
    </xf>
    <xf numFmtId="0" fontId="26" fillId="26" borderId="19" xfId="9" applyFont="1" applyFill="1" applyBorder="1"/>
    <xf numFmtId="0" fontId="26" fillId="26" borderId="20" xfId="9" applyFont="1" applyFill="1" applyBorder="1"/>
    <xf numFmtId="0" fontId="25" fillId="26" borderId="5" xfId="9" applyFont="1" applyFill="1" applyBorder="1"/>
    <xf numFmtId="0" fontId="25" fillId="26" borderId="10" xfId="9" applyFont="1" applyFill="1" applyBorder="1"/>
    <xf numFmtId="0" fontId="25" fillId="26" borderId="7" xfId="9" applyFont="1" applyFill="1" applyBorder="1"/>
    <xf numFmtId="0" fontId="25" fillId="26" borderId="11" xfId="9" applyFont="1" applyFill="1" applyBorder="1"/>
    <xf numFmtId="0" fontId="25" fillId="0" borderId="0" xfId="9" applyFont="1" applyAlignment="1">
      <alignment horizontal="right"/>
    </xf>
    <xf numFmtId="0" fontId="25" fillId="4" borderId="27" xfId="9" applyFont="1" applyFill="1" applyBorder="1" applyAlignment="1">
      <alignment horizontal="center"/>
    </xf>
    <xf numFmtId="0" fontId="25" fillId="4" borderId="33" xfId="9" applyFont="1" applyFill="1" applyBorder="1" applyAlignment="1">
      <alignment horizontal="center"/>
    </xf>
    <xf numFmtId="0" fontId="25" fillId="4" borderId="26" xfId="9" applyFont="1" applyFill="1" applyBorder="1" applyAlignment="1">
      <alignment horizontal="center"/>
    </xf>
    <xf numFmtId="0" fontId="25" fillId="14" borderId="17" xfId="9" applyFont="1" applyFill="1" applyBorder="1" applyAlignment="1">
      <alignment horizontal="center"/>
    </xf>
    <xf numFmtId="164" fontId="25" fillId="0" borderId="0" xfId="16" applyNumberFormat="1" applyFont="1"/>
    <xf numFmtId="0" fontId="25" fillId="11" borderId="33" xfId="9" applyFont="1" applyFill="1" applyBorder="1"/>
    <xf numFmtId="0" fontId="25" fillId="10" borderId="0" xfId="9" applyFont="1" applyFill="1" applyAlignment="1">
      <alignment horizontal="center"/>
    </xf>
    <xf numFmtId="9" fontId="25" fillId="0" borderId="0" xfId="17" applyFont="1"/>
    <xf numFmtId="0" fontId="25" fillId="11" borderId="27" xfId="9" applyFont="1" applyFill="1" applyBorder="1" applyAlignment="1">
      <alignment horizontal="center"/>
    </xf>
    <xf numFmtId="0" fontId="25" fillId="11" borderId="33" xfId="9" applyFont="1" applyFill="1" applyBorder="1" applyAlignment="1">
      <alignment horizontal="center"/>
    </xf>
    <xf numFmtId="0" fontId="25" fillId="11" borderId="26" xfId="9" applyFont="1" applyFill="1" applyBorder="1" applyAlignment="1">
      <alignment horizontal="center"/>
    </xf>
    <xf numFmtId="0" fontId="25" fillId="7" borderId="0" xfId="9" applyFont="1" applyFill="1"/>
    <xf numFmtId="0" fontId="25" fillId="7" borderId="0" xfId="9" applyFont="1" applyFill="1" applyAlignment="1">
      <alignment horizontal="center"/>
    </xf>
    <xf numFmtId="0" fontId="25" fillId="7" borderId="0" xfId="9" applyFont="1" applyFill="1" applyAlignment="1">
      <alignment horizontal="left"/>
    </xf>
    <xf numFmtId="174" fontId="25" fillId="7" borderId="0" xfId="9" applyNumberFormat="1" applyFont="1" applyFill="1"/>
    <xf numFmtId="0" fontId="0" fillId="27" borderId="0" xfId="0" applyFill="1"/>
    <xf numFmtId="178" fontId="0" fillId="10" borderId="0" xfId="0" applyNumberFormat="1" applyFill="1"/>
    <xf numFmtId="45" fontId="0" fillId="10" borderId="0" xfId="0" applyNumberFormat="1" applyFill="1" applyAlignment="1">
      <alignment horizontal="center"/>
    </xf>
    <xf numFmtId="0" fontId="0" fillId="11" borderId="0" xfId="0" applyFill="1"/>
    <xf numFmtId="0" fontId="0" fillId="28" borderId="0" xfId="0" applyFill="1"/>
    <xf numFmtId="0" fontId="0" fillId="25" borderId="0" xfId="0" applyFill="1"/>
    <xf numFmtId="0" fontId="0" fillId="0" borderId="0" xfId="0" applyAlignment="1">
      <alignment horizontal="center"/>
    </xf>
    <xf numFmtId="165" fontId="19" fillId="0" borderId="0" xfId="2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77" fontId="19" fillId="0" borderId="0" xfId="0" applyNumberFormat="1" applyFont="1" applyAlignment="1">
      <alignment horizontal="center" vertical="center"/>
    </xf>
    <xf numFmtId="179" fontId="18" fillId="0" borderId="10" xfId="0" applyNumberFormat="1" applyFont="1" applyBorder="1" applyAlignment="1">
      <alignment horizontal="center" vertical="center"/>
    </xf>
    <xf numFmtId="179" fontId="18" fillId="0" borderId="10" xfId="0" applyNumberFormat="1" applyFont="1" applyBorder="1" applyAlignment="1">
      <alignment horizontal="center" vertical="center" wrapText="1"/>
    </xf>
    <xf numFmtId="179" fontId="18" fillId="0" borderId="11" xfId="0" applyNumberFormat="1" applyFont="1" applyBorder="1" applyAlignment="1">
      <alignment horizontal="center" vertical="center" wrapText="1"/>
    </xf>
    <xf numFmtId="14" fontId="2" fillId="0" borderId="0" xfId="11" applyNumberFormat="1"/>
    <xf numFmtId="164" fontId="0" fillId="0" borderId="0" xfId="7" applyNumberFormat="1" applyFont="1"/>
    <xf numFmtId="178" fontId="0" fillId="19" borderId="0" xfId="0" applyNumberFormat="1" applyFill="1"/>
    <xf numFmtId="174" fontId="0" fillId="19" borderId="0" xfId="0" applyNumberFormat="1" applyFill="1" applyAlignment="1">
      <alignment horizontal="center"/>
    </xf>
    <xf numFmtId="0" fontId="0" fillId="29" borderId="0" xfId="0" applyFill="1"/>
    <xf numFmtId="0" fontId="0" fillId="0" borderId="0" xfId="0" quotePrefix="1"/>
    <xf numFmtId="0" fontId="2" fillId="6" borderId="13" xfId="0" applyFont="1" applyFill="1" applyBorder="1" applyAlignment="1">
      <alignment horizontal="left" vertical="center" wrapText="1"/>
    </xf>
    <xf numFmtId="0" fontId="2" fillId="6" borderId="14" xfId="0" applyFont="1" applyFill="1" applyBorder="1" applyAlignment="1">
      <alignment horizontal="left" vertical="center" wrapText="1"/>
    </xf>
    <xf numFmtId="0" fontId="2" fillId="6" borderId="15" xfId="0" applyFont="1" applyFill="1" applyBorder="1" applyAlignment="1">
      <alignment horizontal="left" vertical="center" wrapText="1"/>
    </xf>
    <xf numFmtId="0" fontId="2" fillId="9" borderId="13" xfId="0" applyFont="1" applyFill="1" applyBorder="1" applyAlignment="1">
      <alignment horizontal="left" vertical="center" wrapText="1"/>
    </xf>
    <xf numFmtId="0" fontId="2" fillId="9" borderId="15" xfId="0" applyFont="1" applyFill="1" applyBorder="1" applyAlignment="1">
      <alignment horizontal="left" vertical="center" wrapText="1"/>
    </xf>
    <xf numFmtId="0" fontId="2" fillId="10" borderId="13" xfId="0" applyFont="1" applyFill="1" applyBorder="1" applyAlignment="1">
      <alignment horizontal="left" vertical="center"/>
    </xf>
    <xf numFmtId="0" fontId="2" fillId="10" borderId="14" xfId="0" applyFont="1" applyFill="1" applyBorder="1" applyAlignment="1">
      <alignment horizontal="left" vertical="center"/>
    </xf>
    <xf numFmtId="0" fontId="2" fillId="10" borderId="15" xfId="0" applyFont="1" applyFill="1" applyBorder="1" applyAlignment="1">
      <alignment horizontal="left" vertical="center"/>
    </xf>
    <xf numFmtId="0" fontId="8" fillId="23" borderId="0" xfId="0" applyFont="1" applyFill="1" applyAlignment="1">
      <alignment horizontal="left" vertical="top" wrapText="1"/>
    </xf>
    <xf numFmtId="0" fontId="12" fillId="0" borderId="0" xfId="3" applyAlignment="1">
      <alignment wrapText="1"/>
    </xf>
    <xf numFmtId="0" fontId="12" fillId="0" borderId="0" xfId="3" quotePrefix="1" applyAlignment="1">
      <alignment wrapText="1"/>
    </xf>
    <xf numFmtId="0" fontId="12" fillId="0" borderId="0" xfId="3" quotePrefix="1"/>
    <xf numFmtId="0" fontId="12" fillId="0" borderId="4" xfId="3" applyBorder="1" applyAlignment="1">
      <alignment horizontal="center"/>
    </xf>
    <xf numFmtId="0" fontId="12" fillId="0" borderId="8" xfId="3" applyBorder="1" applyAlignment="1">
      <alignment horizontal="center"/>
    </xf>
    <xf numFmtId="0" fontId="12" fillId="0" borderId="9" xfId="3" applyBorder="1" applyAlignment="1">
      <alignment horizontal="center"/>
    </xf>
    <xf numFmtId="0" fontId="12" fillId="0" borderId="1" xfId="3" applyBorder="1" applyAlignment="1">
      <alignment horizontal="center"/>
    </xf>
    <xf numFmtId="0" fontId="2" fillId="2" borderId="1" xfId="11" applyFill="1" applyBorder="1" applyAlignment="1">
      <alignment horizontal="center"/>
    </xf>
    <xf numFmtId="0" fontId="5" fillId="13" borderId="5" xfId="3" applyFont="1" applyFill="1" applyBorder="1" applyAlignment="1">
      <alignment wrapText="1"/>
    </xf>
    <xf numFmtId="0" fontId="5" fillId="13" borderId="0" xfId="3" applyFont="1" applyFill="1" applyAlignment="1">
      <alignment wrapText="1"/>
    </xf>
    <xf numFmtId="0" fontId="5" fillId="13" borderId="10" xfId="3" applyFont="1" applyFill="1" applyBorder="1" applyAlignment="1">
      <alignment wrapText="1"/>
    </xf>
    <xf numFmtId="0" fontId="5" fillId="13" borderId="7" xfId="3" applyFont="1" applyFill="1" applyBorder="1" applyAlignment="1">
      <alignment wrapText="1"/>
    </xf>
    <xf numFmtId="0" fontId="5" fillId="13" borderId="2" xfId="3" applyFont="1" applyFill="1" applyBorder="1" applyAlignment="1">
      <alignment wrapText="1"/>
    </xf>
    <xf numFmtId="0" fontId="5" fillId="13" borderId="11" xfId="3" applyFont="1" applyFill="1" applyBorder="1" applyAlignment="1">
      <alignment wrapText="1"/>
    </xf>
    <xf numFmtId="14" fontId="0" fillId="0" borderId="0" xfId="0" applyNumberFormat="1"/>
  </cellXfs>
  <cellStyles count="18">
    <cellStyle name="Changing Cells" xfId="6" xr:uid="{00000000-0005-0000-0000-000000000000}"/>
    <cellStyle name="Comma" xfId="1" builtinId="3"/>
    <cellStyle name="Comma 2" xfId="7" xr:uid="{00000000-0005-0000-0000-000002000000}"/>
    <cellStyle name="Comma 3" xfId="13" xr:uid="{00000000-0005-0000-0000-000003000000}"/>
    <cellStyle name="Comma 4" xfId="16" xr:uid="{00000000-0005-0000-0000-000004000000}"/>
    <cellStyle name="Currency 2" xfId="4" xr:uid="{00000000-0005-0000-0000-000005000000}"/>
    <cellStyle name="Currency 2 2" xfId="12" xr:uid="{00000000-0005-0000-0000-000006000000}"/>
    <cellStyle name="Data" xfId="8" xr:uid="{00000000-0005-0000-0000-000007000000}"/>
    <cellStyle name="Normal" xfId="0" builtinId="0"/>
    <cellStyle name="Normal 2" xfId="3" xr:uid="{00000000-0005-0000-0000-000009000000}"/>
    <cellStyle name="Normal 2 2" xfId="11" xr:uid="{00000000-0005-0000-0000-00000A000000}"/>
    <cellStyle name="Normal 3" xfId="9" xr:uid="{00000000-0005-0000-0000-00000B000000}"/>
    <cellStyle name="Normal 4" xfId="14" xr:uid="{00000000-0005-0000-0000-00000C000000}"/>
    <cellStyle name="Percent" xfId="2" builtinId="5"/>
    <cellStyle name="Percent 2" xfId="5" xr:uid="{00000000-0005-0000-0000-00000E000000}"/>
    <cellStyle name="Percent 3" xfId="15" xr:uid="{00000000-0005-0000-0000-00000F000000}"/>
    <cellStyle name="Percent 4" xfId="17" xr:uid="{00000000-0005-0000-0000-000010000000}"/>
    <cellStyle name="Target Cell" xfId="10" xr:uid="{00000000-0005-0000-0000-000011000000}"/>
  </cellStyles>
  <dxfs count="9">
    <dxf>
      <font>
        <b/>
        <i/>
        <color theme="1"/>
      </font>
      <fill>
        <patternFill>
          <bgColor rgb="FFFF000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indexed="10"/>
        </patternFill>
      </fill>
    </dxf>
    <dxf>
      <fill>
        <patternFill>
          <bgColor theme="5" tint="0.59996337778862885"/>
        </patternFill>
      </fill>
    </dxf>
    <dxf>
      <fill>
        <patternFill>
          <bgColor indexed="10"/>
        </patternFill>
      </fill>
    </dxf>
    <dxf>
      <fill>
        <patternFill>
          <bgColor theme="5" tint="0.39994506668294322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'Process Behav Template'!$O$1</c:f>
          <c:strCache>
            <c:ptCount val="1"/>
            <c:pt idx="0">
              <c:v>I-MR Chart for Waiting in Line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0069272573890689E-2"/>
          <c:y val="0.10187304133809309"/>
          <c:w val="0.93654160314462453"/>
          <c:h val="0.73598918534912772"/>
        </c:manualLayout>
      </c:layout>
      <c:lineChart>
        <c:grouping val="standard"/>
        <c:varyColors val="0"/>
        <c:ser>
          <c:idx val="0"/>
          <c:order val="0"/>
          <c:tx>
            <c:strRef>
              <c:f>'Process Behav Template'!$B$5</c:f>
              <c:strCache>
                <c:ptCount val="1"/>
                <c:pt idx="0">
                  <c:v>Waiting in Line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[0]!Period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[0]!IMRData</c:f>
              <c:numCache>
                <c:formatCode>General</c:formatCode>
                <c:ptCount val="24"/>
                <c:pt idx="0">
                  <c:v>3.5</c:v>
                </c:pt>
                <c:pt idx="1">
                  <c:v>2.4</c:v>
                </c:pt>
                <c:pt idx="2">
                  <c:v>4.0999999999999996</c:v>
                </c:pt>
                <c:pt idx="3">
                  <c:v>2.8</c:v>
                </c:pt>
                <c:pt idx="4">
                  <c:v>3</c:v>
                </c:pt>
                <c:pt idx="5">
                  <c:v>4.7</c:v>
                </c:pt>
                <c:pt idx="6">
                  <c:v>1.2</c:v>
                </c:pt>
                <c:pt idx="7">
                  <c:v>0.9</c:v>
                </c:pt>
                <c:pt idx="8">
                  <c:v>2.5</c:v>
                </c:pt>
                <c:pt idx="9">
                  <c:v>3.1</c:v>
                </c:pt>
                <c:pt idx="10">
                  <c:v>3.6</c:v>
                </c:pt>
                <c:pt idx="11">
                  <c:v>4.0999999999999996</c:v>
                </c:pt>
                <c:pt idx="12">
                  <c:v>3.8</c:v>
                </c:pt>
                <c:pt idx="13">
                  <c:v>2.5</c:v>
                </c:pt>
                <c:pt idx="14">
                  <c:v>2.8</c:v>
                </c:pt>
                <c:pt idx="15">
                  <c:v>4.3</c:v>
                </c:pt>
                <c:pt idx="16">
                  <c:v>4.0999999999999996</c:v>
                </c:pt>
                <c:pt idx="17">
                  <c:v>3.6</c:v>
                </c:pt>
                <c:pt idx="18">
                  <c:v>2.4</c:v>
                </c:pt>
                <c:pt idx="19">
                  <c:v>4.8</c:v>
                </c:pt>
                <c:pt idx="20">
                  <c:v>3.5</c:v>
                </c:pt>
                <c:pt idx="21">
                  <c:v>2.5</c:v>
                </c:pt>
                <c:pt idx="22">
                  <c:v>1.3</c:v>
                </c:pt>
                <c:pt idx="23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E3-41EC-B4DD-D614C799CBA4}"/>
            </c:ext>
          </c:extLst>
        </c:ser>
        <c:ser>
          <c:idx val="1"/>
          <c:order val="1"/>
          <c:tx>
            <c:strRef>
              <c:f>'Process Behav Template'!$I$5</c:f>
              <c:strCache>
                <c:ptCount val="1"/>
                <c:pt idx="0">
                  <c:v>UCL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[0]!Period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[0]!UCL</c:f>
              <c:numCache>
                <c:formatCode>General</c:formatCode>
                <c:ptCount val="24"/>
                <c:pt idx="0">
                  <c:v>6.335536231884058</c:v>
                </c:pt>
                <c:pt idx="1">
                  <c:v>6.335536231884058</c:v>
                </c:pt>
                <c:pt idx="2">
                  <c:v>6.335536231884058</c:v>
                </c:pt>
                <c:pt idx="3">
                  <c:v>6.335536231884058</c:v>
                </c:pt>
                <c:pt idx="4">
                  <c:v>6.335536231884058</c:v>
                </c:pt>
                <c:pt idx="5">
                  <c:v>6.335536231884058</c:v>
                </c:pt>
                <c:pt idx="6">
                  <c:v>6.335536231884058</c:v>
                </c:pt>
                <c:pt idx="7">
                  <c:v>6.335536231884058</c:v>
                </c:pt>
                <c:pt idx="8">
                  <c:v>6.335536231884058</c:v>
                </c:pt>
                <c:pt idx="9">
                  <c:v>6.335536231884058</c:v>
                </c:pt>
                <c:pt idx="10">
                  <c:v>6.335536231884058</c:v>
                </c:pt>
                <c:pt idx="11">
                  <c:v>6.335536231884058</c:v>
                </c:pt>
                <c:pt idx="12">
                  <c:v>6.335536231884058</c:v>
                </c:pt>
                <c:pt idx="13">
                  <c:v>6.335536231884058</c:v>
                </c:pt>
                <c:pt idx="14">
                  <c:v>6.335536231884058</c:v>
                </c:pt>
                <c:pt idx="15">
                  <c:v>6.335536231884058</c:v>
                </c:pt>
                <c:pt idx="16">
                  <c:v>6.335536231884058</c:v>
                </c:pt>
                <c:pt idx="17">
                  <c:v>6.335536231884058</c:v>
                </c:pt>
                <c:pt idx="18">
                  <c:v>6.335536231884058</c:v>
                </c:pt>
                <c:pt idx="19">
                  <c:v>6.335536231884058</c:v>
                </c:pt>
                <c:pt idx="20">
                  <c:v>6.335536231884058</c:v>
                </c:pt>
                <c:pt idx="21">
                  <c:v>6.335536231884058</c:v>
                </c:pt>
                <c:pt idx="22">
                  <c:v>6.335536231884058</c:v>
                </c:pt>
                <c:pt idx="23">
                  <c:v>6.335536231884058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E3-41EC-B4DD-D614C799CBA4}"/>
            </c:ext>
          </c:extLst>
        </c:ser>
        <c:ser>
          <c:idx val="2"/>
          <c:order val="2"/>
          <c:tx>
            <c:strRef>
              <c:f>'Process Behav Template'!$H$5</c:f>
              <c:strCache>
                <c:ptCount val="1"/>
                <c:pt idx="0">
                  <c:v>LCL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[0]!Period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[0]!LCL</c:f>
              <c:numCache>
                <c:formatCode>General</c:formatCode>
                <c:ptCount val="24"/>
                <c:pt idx="0">
                  <c:v>-2.2028985507254184E-3</c:v>
                </c:pt>
                <c:pt idx="1">
                  <c:v>-2.2028985507254184E-3</c:v>
                </c:pt>
                <c:pt idx="2">
                  <c:v>-2.2028985507254184E-3</c:v>
                </c:pt>
                <c:pt idx="3">
                  <c:v>-2.2028985507254184E-3</c:v>
                </c:pt>
                <c:pt idx="4">
                  <c:v>-2.2028985507254184E-3</c:v>
                </c:pt>
                <c:pt idx="5">
                  <c:v>-2.2028985507254184E-3</c:v>
                </c:pt>
                <c:pt idx="6">
                  <c:v>-2.2028985507254184E-3</c:v>
                </c:pt>
                <c:pt idx="7">
                  <c:v>-2.2028985507254184E-3</c:v>
                </c:pt>
                <c:pt idx="8">
                  <c:v>-2.2028985507254184E-3</c:v>
                </c:pt>
                <c:pt idx="9">
                  <c:v>-2.2028985507254184E-3</c:v>
                </c:pt>
                <c:pt idx="10">
                  <c:v>-2.2028985507254184E-3</c:v>
                </c:pt>
                <c:pt idx="11">
                  <c:v>-2.2028985507254184E-3</c:v>
                </c:pt>
                <c:pt idx="12">
                  <c:v>-2.2028985507254184E-3</c:v>
                </c:pt>
                <c:pt idx="13">
                  <c:v>-2.2028985507254184E-3</c:v>
                </c:pt>
                <c:pt idx="14">
                  <c:v>-2.2028985507254184E-3</c:v>
                </c:pt>
                <c:pt idx="15">
                  <c:v>-2.2028985507254184E-3</c:v>
                </c:pt>
                <c:pt idx="16">
                  <c:v>-2.2028985507254184E-3</c:v>
                </c:pt>
                <c:pt idx="17">
                  <c:v>-2.2028985507254184E-3</c:v>
                </c:pt>
                <c:pt idx="18">
                  <c:v>-2.2028985507254184E-3</c:v>
                </c:pt>
                <c:pt idx="19">
                  <c:v>-2.2028985507254184E-3</c:v>
                </c:pt>
                <c:pt idx="20">
                  <c:v>-2.2028985507254184E-3</c:v>
                </c:pt>
                <c:pt idx="21">
                  <c:v>-2.2028985507254184E-3</c:v>
                </c:pt>
                <c:pt idx="22">
                  <c:v>-2.2028985507254184E-3</c:v>
                </c:pt>
                <c:pt idx="23">
                  <c:v>-2.2028985507254184E-3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E3-41EC-B4DD-D614C799CBA4}"/>
            </c:ext>
          </c:extLst>
        </c:ser>
        <c:ser>
          <c:idx val="3"/>
          <c:order val="3"/>
          <c:tx>
            <c:strRef>
              <c:f>'Process Behav Template'!$G$5</c:f>
              <c:strCache>
                <c:ptCount val="1"/>
                <c:pt idx="0">
                  <c:v>Avg</c:v>
                </c:pt>
              </c:strCache>
            </c:strRef>
          </c:tx>
          <c:spPr>
            <a:ln w="12700" cap="rnd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[0]!Period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[0]!Avg</c:f>
              <c:numCache>
                <c:formatCode>General</c:formatCode>
                <c:ptCount val="24"/>
                <c:pt idx="0">
                  <c:v>3.1666666666666661</c:v>
                </c:pt>
                <c:pt idx="1">
                  <c:v>3.1666666666666661</c:v>
                </c:pt>
                <c:pt idx="2">
                  <c:v>3.1666666666666661</c:v>
                </c:pt>
                <c:pt idx="3">
                  <c:v>3.1666666666666661</c:v>
                </c:pt>
                <c:pt idx="4">
                  <c:v>3.1666666666666661</c:v>
                </c:pt>
                <c:pt idx="5">
                  <c:v>3.1666666666666661</c:v>
                </c:pt>
                <c:pt idx="6">
                  <c:v>3.1666666666666661</c:v>
                </c:pt>
                <c:pt idx="7">
                  <c:v>3.1666666666666661</c:v>
                </c:pt>
                <c:pt idx="8">
                  <c:v>3.1666666666666661</c:v>
                </c:pt>
                <c:pt idx="9">
                  <c:v>3.1666666666666661</c:v>
                </c:pt>
                <c:pt idx="10">
                  <c:v>3.1666666666666661</c:v>
                </c:pt>
                <c:pt idx="11">
                  <c:v>3.1666666666666661</c:v>
                </c:pt>
                <c:pt idx="12">
                  <c:v>3.1666666666666661</c:v>
                </c:pt>
                <c:pt idx="13">
                  <c:v>3.1666666666666661</c:v>
                </c:pt>
                <c:pt idx="14">
                  <c:v>3.1666666666666661</c:v>
                </c:pt>
                <c:pt idx="15">
                  <c:v>3.1666666666666661</c:v>
                </c:pt>
                <c:pt idx="16">
                  <c:v>3.1666666666666661</c:v>
                </c:pt>
                <c:pt idx="17">
                  <c:v>3.1666666666666661</c:v>
                </c:pt>
                <c:pt idx="18">
                  <c:v>3.1666666666666661</c:v>
                </c:pt>
                <c:pt idx="19">
                  <c:v>3.1666666666666661</c:v>
                </c:pt>
                <c:pt idx="20">
                  <c:v>3.1666666666666661</c:v>
                </c:pt>
                <c:pt idx="21">
                  <c:v>3.1666666666666661</c:v>
                </c:pt>
                <c:pt idx="22">
                  <c:v>3.1666666666666661</c:v>
                </c:pt>
                <c:pt idx="23">
                  <c:v>3.1666666666666661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E3-41EC-B4DD-D614C799CBA4}"/>
            </c:ext>
          </c:extLst>
        </c:ser>
        <c:ser>
          <c:idx val="4"/>
          <c:order val="4"/>
          <c:tx>
            <c:strRef>
              <c:f>'Process Behav Template'!$R$4</c:f>
              <c:strCache>
                <c:ptCount val="1"/>
                <c:pt idx="0">
                  <c:v>Marker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[0]!Period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[0]!Marker</c:f>
              <c:numCache>
                <c:formatCode>General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E3-41EC-B4DD-D614C799CB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732672"/>
        <c:axId val="184771712"/>
      </c:lineChart>
      <c:catAx>
        <c:axId val="18473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71712"/>
        <c:crosses val="autoZero"/>
        <c:auto val="1"/>
        <c:lblAlgn val="ctr"/>
        <c:lblOffset val="100"/>
        <c:noMultiLvlLbl val="1"/>
      </c:catAx>
      <c:valAx>
        <c:axId val="184771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3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'Forecasting 1'!$F$3</c:f>
              <c:strCache>
                <c:ptCount val="1"/>
                <c:pt idx="0">
                  <c:v> Other Tax 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cat>
            <c:numRef>
              <c:f>'Forecasting 1'!$B$4:$B$9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'Forecasting 1'!$F$4:$F$9</c:f>
              <c:numCache>
                <c:formatCode>_(* #,##0_);_(* \(#,##0\);_(* "-"??_);_(@_)</c:formatCode>
                <c:ptCount val="6"/>
                <c:pt idx="0">
                  <c:v>470742</c:v>
                </c:pt>
                <c:pt idx="1">
                  <c:v>589012</c:v>
                </c:pt>
                <c:pt idx="2">
                  <c:v>436559</c:v>
                </c:pt>
                <c:pt idx="3">
                  <c:v>339122</c:v>
                </c:pt>
                <c:pt idx="4">
                  <c:v>569733</c:v>
                </c:pt>
                <c:pt idx="5">
                  <c:v>682638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73-46C7-8A8A-60C0FE76B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957120"/>
        <c:axId val="195959040"/>
      </c:lineChart>
      <c:catAx>
        <c:axId val="195957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5959040"/>
        <c:crosses val="autoZero"/>
        <c:auto val="1"/>
        <c:lblAlgn val="ctr"/>
        <c:lblOffset val="100"/>
        <c:noMultiLvlLbl val="0"/>
      </c:catAx>
      <c:valAx>
        <c:axId val="19595904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59571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'Forecasting 2'!$C$3</c:f>
          <c:strCache>
            <c:ptCount val="1"/>
            <c:pt idx="0">
              <c:v> Property Tax </c:v>
            </c:pt>
          </c:strCache>
        </c:strRef>
      </c:tx>
      <c:overlay val="1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203528161974194"/>
          <c:y val="0.15483481920131884"/>
          <c:w val="0.75480869186303245"/>
          <c:h val="0.66620724062384873"/>
        </c:manualLayout>
      </c:layout>
      <c:lineChart>
        <c:grouping val="standard"/>
        <c:varyColors val="0"/>
        <c:ser>
          <c:idx val="1"/>
          <c:order val="0"/>
          <c:tx>
            <c:strRef>
              <c:f>'Forecasting 2'!$C$3</c:f>
              <c:strCache>
                <c:ptCount val="1"/>
                <c:pt idx="0">
                  <c:v> Property Tax 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trendline>
            <c:spPr>
              <a:ln w="25400">
                <a:solidFill>
                  <a:srgbClr val="FF0000"/>
                </a:solidFill>
              </a:ln>
            </c:spPr>
            <c:trendlineType val="linear"/>
            <c:forward val="1"/>
            <c:dispRSqr val="0"/>
            <c:dispEq val="0"/>
          </c:trendline>
          <c:cat>
            <c:numRef>
              <c:f>'Forecasting 2'!$N$3:$N$9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'Forecasting 2'!$C$4:$C$9</c:f>
              <c:numCache>
                <c:formatCode>_(* #,##0_);_(* \(#,##0\);_(* "-"??_);_(@_)</c:formatCode>
                <c:ptCount val="6"/>
                <c:pt idx="0">
                  <c:v>16342318</c:v>
                </c:pt>
                <c:pt idx="1">
                  <c:v>18690329</c:v>
                </c:pt>
                <c:pt idx="2">
                  <c:v>21276968</c:v>
                </c:pt>
                <c:pt idx="3">
                  <c:v>21713205</c:v>
                </c:pt>
                <c:pt idx="4">
                  <c:v>23081521</c:v>
                </c:pt>
                <c:pt idx="5">
                  <c:v>25267247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B-4BE8-BC5F-8ADC90896421}"/>
            </c:ext>
          </c:extLst>
        </c:ser>
        <c:ser>
          <c:idx val="0"/>
          <c:order val="1"/>
          <c:marker>
            <c:symbol val="diamond"/>
            <c:size val="10"/>
            <c:spPr>
              <a:solidFill>
                <a:schemeClr val="accent3">
                  <a:lumMod val="75000"/>
                </a:schemeClr>
              </a:solidFill>
            </c:spPr>
          </c:marker>
          <c:cat>
            <c:numRef>
              <c:f>'Forecasting 2'!$N$3:$N$9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'Forecasting 2'!$O$3:$O$9</c:f>
              <c:numCache>
                <c:formatCode>General</c:formatCode>
                <c:ptCount val="7"/>
                <c:pt idx="6" formatCode="_(* #,##0_);_(* \(#,##0\);_(* &quot;-&quot;??_);_(@_)">
                  <c:v>26102086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B-4BE8-BC5F-8ADC90896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051328"/>
        <c:axId val="196053248"/>
      </c:lineChart>
      <c:catAx>
        <c:axId val="19605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6053248"/>
        <c:crosses val="autoZero"/>
        <c:auto val="1"/>
        <c:lblAlgn val="ctr"/>
        <c:lblOffset val="100"/>
        <c:noMultiLvlLbl val="0"/>
      </c:catAx>
      <c:valAx>
        <c:axId val="19605324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6051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'Forecasting 2'!$E$3</c:f>
          <c:strCache>
            <c:ptCount val="1"/>
            <c:pt idx="0">
              <c:v> Occupancy Tax </c:v>
            </c:pt>
          </c:strCache>
        </c:strRef>
      </c:tx>
      <c:overlay val="1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9675336757952941"/>
          <c:y val="0.18238302856771021"/>
          <c:w val="0.77009060590324463"/>
          <c:h val="0.63865903125745749"/>
        </c:manualLayout>
      </c:layout>
      <c:lineChart>
        <c:grouping val="standard"/>
        <c:varyColors val="0"/>
        <c:ser>
          <c:idx val="1"/>
          <c:order val="0"/>
          <c:tx>
            <c:strRef>
              <c:f>'Forecasting 2'!$E$3</c:f>
              <c:strCache>
                <c:ptCount val="1"/>
                <c:pt idx="0">
                  <c:v> Occupancy Tax 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trendline>
            <c:spPr>
              <a:ln w="25400">
                <a:solidFill>
                  <a:srgbClr val="FF0000"/>
                </a:solidFill>
              </a:ln>
            </c:spPr>
            <c:trendlineType val="linear"/>
            <c:forward val="1"/>
            <c:dispRSqr val="0"/>
            <c:dispEq val="0"/>
          </c:trendline>
          <c:cat>
            <c:numRef>
              <c:f>'Forecasting 2'!$N$3:$N$9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'Forecasting 2'!$E$4:$E$9</c:f>
              <c:numCache>
                <c:formatCode>_(* #,##0_);_(* \(#,##0\);_(* "-"??_);_(@_)</c:formatCode>
                <c:ptCount val="6"/>
                <c:pt idx="0">
                  <c:v>786233</c:v>
                </c:pt>
                <c:pt idx="1">
                  <c:v>689942</c:v>
                </c:pt>
                <c:pt idx="2">
                  <c:v>563486</c:v>
                </c:pt>
                <c:pt idx="3">
                  <c:v>572932</c:v>
                </c:pt>
                <c:pt idx="4">
                  <c:v>675295</c:v>
                </c:pt>
                <c:pt idx="5">
                  <c:v>783509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9B-4EB2-A887-90FC9C6B88E8}"/>
            </c:ext>
          </c:extLst>
        </c:ser>
        <c:ser>
          <c:idx val="0"/>
          <c:order val="1"/>
          <c:marker>
            <c:symbol val="diamond"/>
            <c:size val="10"/>
            <c:spPr>
              <a:solidFill>
                <a:srgbClr val="9BBB59">
                  <a:lumMod val="75000"/>
                </a:srgbClr>
              </a:solidFill>
            </c:spPr>
          </c:marker>
          <c:cat>
            <c:numRef>
              <c:f>'Forecasting 2'!$N$3:$N$9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'Forecasting 2'!$Q$3:$Q$9</c:f>
              <c:numCache>
                <c:formatCode>General</c:formatCode>
                <c:ptCount val="7"/>
                <c:pt idx="6" formatCode="_(* #,##0_);_(* \(#,##0\);_(* &quot;-&quot;??_);_(@_)">
                  <c:v>991081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9B-4EB2-A887-90FC9C6B8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205824"/>
        <c:axId val="198207744"/>
      </c:lineChart>
      <c:catAx>
        <c:axId val="198205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8207744"/>
        <c:crosses val="autoZero"/>
        <c:auto val="1"/>
        <c:lblAlgn val="ctr"/>
        <c:lblOffset val="100"/>
        <c:noMultiLvlLbl val="0"/>
      </c:catAx>
      <c:valAx>
        <c:axId val="19820774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820582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'Forecasting 2'!$D$3</c:f>
          <c:strCache>
            <c:ptCount val="1"/>
            <c:pt idx="0">
              <c:v> Sales Tax </c:v>
            </c:pt>
          </c:strCache>
        </c:strRef>
      </c:tx>
      <c:overlay val="1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203528161974194"/>
          <c:y val="0.16034446107459721"/>
          <c:w val="0.75480869186303245"/>
          <c:h val="0.66069759875057033"/>
        </c:manualLayout>
      </c:layout>
      <c:lineChart>
        <c:grouping val="standard"/>
        <c:varyColors val="0"/>
        <c:ser>
          <c:idx val="1"/>
          <c:order val="0"/>
          <c:tx>
            <c:strRef>
              <c:f>'Forecasting 2'!$D$3</c:f>
              <c:strCache>
                <c:ptCount val="1"/>
                <c:pt idx="0">
                  <c:v> Sales Tax 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trendline>
            <c:spPr>
              <a:ln w="25400">
                <a:solidFill>
                  <a:srgbClr val="FF0000"/>
                </a:solidFill>
              </a:ln>
            </c:spPr>
            <c:trendlineType val="linear"/>
            <c:forward val="1"/>
            <c:dispRSqr val="0"/>
            <c:dispEq val="0"/>
          </c:trendline>
          <c:cat>
            <c:numRef>
              <c:f>'Forecasting 2'!$N$3:$N$9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'Forecasting 2'!$D$4:$D$9</c:f>
              <c:numCache>
                <c:formatCode>_(* #,##0_);_(* \(#,##0\);_(* "-"??_);_(@_)</c:formatCode>
                <c:ptCount val="6"/>
                <c:pt idx="0">
                  <c:v>5879696</c:v>
                </c:pt>
                <c:pt idx="1">
                  <c:v>6424167</c:v>
                </c:pt>
                <c:pt idx="2">
                  <c:v>6974456</c:v>
                </c:pt>
                <c:pt idx="3">
                  <c:v>7654959</c:v>
                </c:pt>
                <c:pt idx="4">
                  <c:v>8456040</c:v>
                </c:pt>
                <c:pt idx="5">
                  <c:v>9138060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89-4E7C-99C5-EE697B63C4E6}"/>
            </c:ext>
          </c:extLst>
        </c:ser>
        <c:ser>
          <c:idx val="0"/>
          <c:order val="1"/>
          <c:marker>
            <c:symbol val="diamond"/>
            <c:size val="10"/>
            <c:spPr>
              <a:solidFill>
                <a:srgbClr val="9BBB59">
                  <a:lumMod val="75000"/>
                </a:srgbClr>
              </a:solidFill>
            </c:spPr>
          </c:marker>
          <c:cat>
            <c:numRef>
              <c:f>'Forecasting 2'!$N$3:$N$9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'Forecasting 2'!$P$3:$P$9</c:f>
              <c:numCache>
                <c:formatCode>General</c:formatCode>
                <c:ptCount val="7"/>
                <c:pt idx="6" formatCode="_(* #,##0_);_(* \(#,##0\);_(* &quot;-&quot;??_);_(@_)">
                  <c:v>9594569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89-4E7C-99C5-EE697B63C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377472"/>
        <c:axId val="198379392"/>
      </c:lineChart>
      <c:catAx>
        <c:axId val="198377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8379392"/>
        <c:crosses val="autoZero"/>
        <c:auto val="1"/>
        <c:lblAlgn val="ctr"/>
        <c:lblOffset val="100"/>
        <c:noMultiLvlLbl val="0"/>
      </c:catAx>
      <c:valAx>
        <c:axId val="19837939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83774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'Forecasting 2'!$F$3</c:f>
          <c:strCache>
            <c:ptCount val="1"/>
            <c:pt idx="0">
              <c:v> Other Tax </c:v>
            </c:pt>
          </c:strCache>
        </c:strRef>
      </c:tx>
      <c:overlay val="1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39509452196937"/>
          <c:y val="0.17136374482115371"/>
          <c:w val="0.79289302826308106"/>
          <c:h val="0.64967831500401418"/>
        </c:manualLayout>
      </c:layout>
      <c:lineChart>
        <c:grouping val="standard"/>
        <c:varyColors val="0"/>
        <c:ser>
          <c:idx val="1"/>
          <c:order val="0"/>
          <c:tx>
            <c:strRef>
              <c:f>'Forecasting 2'!$F$3</c:f>
              <c:strCache>
                <c:ptCount val="1"/>
                <c:pt idx="0">
                  <c:v> Other Tax 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trendline>
            <c:spPr>
              <a:ln w="25400">
                <a:solidFill>
                  <a:srgbClr val="FF0000"/>
                </a:solidFill>
              </a:ln>
            </c:spPr>
            <c:trendlineType val="linear"/>
            <c:forward val="1"/>
            <c:dispRSqr val="0"/>
            <c:dispEq val="0"/>
          </c:trendline>
          <c:cat>
            <c:numRef>
              <c:f>'Forecasting 2'!$N$3:$N$9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'Forecasting 2'!$F$4:$F$9</c:f>
              <c:numCache>
                <c:formatCode>_(* #,##0_);_(* \(#,##0\);_(* "-"??_);_(@_)</c:formatCode>
                <c:ptCount val="6"/>
                <c:pt idx="0">
                  <c:v>470742</c:v>
                </c:pt>
                <c:pt idx="1">
                  <c:v>589012</c:v>
                </c:pt>
                <c:pt idx="2">
                  <c:v>436559</c:v>
                </c:pt>
                <c:pt idx="3">
                  <c:v>339122</c:v>
                </c:pt>
                <c:pt idx="4">
                  <c:v>569733</c:v>
                </c:pt>
                <c:pt idx="5">
                  <c:v>682638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21-499A-9798-2FBB1D8FCBCE}"/>
            </c:ext>
          </c:extLst>
        </c:ser>
        <c:ser>
          <c:idx val="0"/>
          <c:order val="1"/>
          <c:marker>
            <c:symbol val="diamond"/>
            <c:size val="10"/>
            <c:spPr>
              <a:solidFill>
                <a:srgbClr val="9BBB59">
                  <a:lumMod val="75000"/>
                </a:srgbClr>
              </a:solidFill>
            </c:spPr>
          </c:marker>
          <c:cat>
            <c:numRef>
              <c:f>'Forecasting 2'!$N$3:$N$9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'Forecasting 2'!$R$3:$R$9</c:f>
              <c:numCache>
                <c:formatCode>General</c:formatCode>
                <c:ptCount val="7"/>
                <c:pt idx="6" formatCode="_(* #,##0_);_(* \(#,##0\);_(* &quot;-&quot;??_);_(@_)">
                  <c:v>368073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21-499A-9798-2FBB1D8FC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413696"/>
        <c:axId val="198415872"/>
      </c:lineChart>
      <c:catAx>
        <c:axId val="198413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8415872"/>
        <c:crosses val="autoZero"/>
        <c:auto val="1"/>
        <c:lblAlgn val="ctr"/>
        <c:lblOffset val="100"/>
        <c:noMultiLvlLbl val="0"/>
      </c:catAx>
      <c:valAx>
        <c:axId val="19841587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841369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'Durham Sales Tax'!$D$3</c:f>
              <c:strCache>
                <c:ptCount val="1"/>
                <c:pt idx="0">
                  <c:v>Gross Sales Tax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3810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'Durham Sales Tax'!$C$4:$C$89</c:f>
              <c:numCache>
                <c:formatCode>m/d/yyyy</c:formatCode>
                <c:ptCount val="86"/>
                <c:pt idx="0">
                  <c:v>41091</c:v>
                </c:pt>
                <c:pt idx="1">
                  <c:v>41122</c:v>
                </c:pt>
                <c:pt idx="2">
                  <c:v>41153</c:v>
                </c:pt>
                <c:pt idx="3">
                  <c:v>41183</c:v>
                </c:pt>
                <c:pt idx="4">
                  <c:v>41214</c:v>
                </c:pt>
                <c:pt idx="5">
                  <c:v>41244</c:v>
                </c:pt>
                <c:pt idx="6">
                  <c:v>41275</c:v>
                </c:pt>
                <c:pt idx="7">
                  <c:v>41306</c:v>
                </c:pt>
                <c:pt idx="8">
                  <c:v>41334</c:v>
                </c:pt>
                <c:pt idx="9">
                  <c:v>41365</c:v>
                </c:pt>
                <c:pt idx="10">
                  <c:v>41395</c:v>
                </c:pt>
                <c:pt idx="11">
                  <c:v>41426</c:v>
                </c:pt>
                <c:pt idx="12">
                  <c:v>41456</c:v>
                </c:pt>
                <c:pt idx="13">
                  <c:v>41487</c:v>
                </c:pt>
                <c:pt idx="14">
                  <c:v>41518</c:v>
                </c:pt>
                <c:pt idx="15">
                  <c:v>41548</c:v>
                </c:pt>
                <c:pt idx="16">
                  <c:v>41579</c:v>
                </c:pt>
                <c:pt idx="17">
                  <c:v>41609</c:v>
                </c:pt>
                <c:pt idx="18">
                  <c:v>41640</c:v>
                </c:pt>
                <c:pt idx="19">
                  <c:v>41671</c:v>
                </c:pt>
                <c:pt idx="20">
                  <c:v>41699</c:v>
                </c:pt>
                <c:pt idx="21">
                  <c:v>41730</c:v>
                </c:pt>
                <c:pt idx="22">
                  <c:v>41760</c:v>
                </c:pt>
                <c:pt idx="23">
                  <c:v>41791</c:v>
                </c:pt>
                <c:pt idx="24">
                  <c:v>41821</c:v>
                </c:pt>
                <c:pt idx="25">
                  <c:v>41852</c:v>
                </c:pt>
                <c:pt idx="26">
                  <c:v>41883</c:v>
                </c:pt>
                <c:pt idx="27">
                  <c:v>41913</c:v>
                </c:pt>
                <c:pt idx="28">
                  <c:v>41944</c:v>
                </c:pt>
                <c:pt idx="29">
                  <c:v>41974</c:v>
                </c:pt>
                <c:pt idx="30">
                  <c:v>42005</c:v>
                </c:pt>
                <c:pt idx="31">
                  <c:v>42036</c:v>
                </c:pt>
                <c:pt idx="32">
                  <c:v>42064</c:v>
                </c:pt>
                <c:pt idx="33">
                  <c:v>42095</c:v>
                </c:pt>
                <c:pt idx="34">
                  <c:v>42125</c:v>
                </c:pt>
                <c:pt idx="35">
                  <c:v>42156</c:v>
                </c:pt>
                <c:pt idx="36">
                  <c:v>42186</c:v>
                </c:pt>
                <c:pt idx="37">
                  <c:v>42217</c:v>
                </c:pt>
                <c:pt idx="38">
                  <c:v>42248</c:v>
                </c:pt>
                <c:pt idx="39">
                  <c:v>42278</c:v>
                </c:pt>
                <c:pt idx="40">
                  <c:v>42309</c:v>
                </c:pt>
                <c:pt idx="41">
                  <c:v>42339</c:v>
                </c:pt>
                <c:pt idx="42">
                  <c:v>42370</c:v>
                </c:pt>
                <c:pt idx="43">
                  <c:v>42401</c:v>
                </c:pt>
                <c:pt idx="44">
                  <c:v>42430</c:v>
                </c:pt>
                <c:pt idx="45">
                  <c:v>42461</c:v>
                </c:pt>
                <c:pt idx="46">
                  <c:v>42491</c:v>
                </c:pt>
                <c:pt idx="47">
                  <c:v>42522</c:v>
                </c:pt>
                <c:pt idx="48">
                  <c:v>42552</c:v>
                </c:pt>
                <c:pt idx="49">
                  <c:v>42583</c:v>
                </c:pt>
                <c:pt idx="50">
                  <c:v>42614</c:v>
                </c:pt>
                <c:pt idx="51">
                  <c:v>42644</c:v>
                </c:pt>
                <c:pt idx="52">
                  <c:v>42675</c:v>
                </c:pt>
                <c:pt idx="53">
                  <c:v>42705</c:v>
                </c:pt>
                <c:pt idx="54">
                  <c:v>42736</c:v>
                </c:pt>
                <c:pt idx="55">
                  <c:v>42767</c:v>
                </c:pt>
                <c:pt idx="56">
                  <c:v>42795</c:v>
                </c:pt>
                <c:pt idx="57">
                  <c:v>42826</c:v>
                </c:pt>
                <c:pt idx="58">
                  <c:v>42856</c:v>
                </c:pt>
                <c:pt idx="59">
                  <c:v>42887</c:v>
                </c:pt>
                <c:pt idx="60">
                  <c:v>42917</c:v>
                </c:pt>
                <c:pt idx="61">
                  <c:v>42948</c:v>
                </c:pt>
                <c:pt idx="62">
                  <c:v>42979</c:v>
                </c:pt>
                <c:pt idx="63">
                  <c:v>43009</c:v>
                </c:pt>
                <c:pt idx="64">
                  <c:v>43040</c:v>
                </c:pt>
                <c:pt idx="65">
                  <c:v>43070</c:v>
                </c:pt>
                <c:pt idx="66">
                  <c:v>43101</c:v>
                </c:pt>
                <c:pt idx="67">
                  <c:v>43132</c:v>
                </c:pt>
                <c:pt idx="68">
                  <c:v>43160</c:v>
                </c:pt>
                <c:pt idx="69">
                  <c:v>43191</c:v>
                </c:pt>
                <c:pt idx="70">
                  <c:v>43221</c:v>
                </c:pt>
                <c:pt idx="71">
                  <c:v>43252</c:v>
                </c:pt>
                <c:pt idx="72">
                  <c:v>43282</c:v>
                </c:pt>
                <c:pt idx="73">
                  <c:v>43313</c:v>
                </c:pt>
                <c:pt idx="74">
                  <c:v>43344</c:v>
                </c:pt>
                <c:pt idx="75">
                  <c:v>43374</c:v>
                </c:pt>
                <c:pt idx="76">
                  <c:v>43405</c:v>
                </c:pt>
                <c:pt idx="77">
                  <c:v>43435</c:v>
                </c:pt>
                <c:pt idx="78">
                  <c:v>43466</c:v>
                </c:pt>
                <c:pt idx="79">
                  <c:v>43497</c:v>
                </c:pt>
                <c:pt idx="80">
                  <c:v>43525</c:v>
                </c:pt>
                <c:pt idx="81">
                  <c:v>43556</c:v>
                </c:pt>
                <c:pt idx="82">
                  <c:v>43586</c:v>
                </c:pt>
                <c:pt idx="83">
                  <c:v>43617</c:v>
                </c:pt>
                <c:pt idx="84">
                  <c:v>43647</c:v>
                </c:pt>
                <c:pt idx="85">
                  <c:v>43678</c:v>
                </c:pt>
              </c:numCache>
            </c:numRef>
          </c:cat>
          <c:val>
            <c:numRef>
              <c:f>'Durham Sales Tax'!$D$4:$D$89</c:f>
              <c:numCache>
                <c:formatCode>_(* #,##0_);_(* \(#,##0\);_(* "-"??_);_(@_)</c:formatCode>
                <c:ptCount val="86"/>
                <c:pt idx="0">
                  <c:v>225102419</c:v>
                </c:pt>
                <c:pt idx="1">
                  <c:v>211095648</c:v>
                </c:pt>
                <c:pt idx="2">
                  <c:v>207849158</c:v>
                </c:pt>
                <c:pt idx="3">
                  <c:v>211911880</c:v>
                </c:pt>
                <c:pt idx="4">
                  <c:v>203018112</c:v>
                </c:pt>
                <c:pt idx="5">
                  <c:v>204267215</c:v>
                </c:pt>
                <c:pt idx="6">
                  <c:v>244090250</c:v>
                </c:pt>
                <c:pt idx="7">
                  <c:v>191441774</c:v>
                </c:pt>
                <c:pt idx="8">
                  <c:v>205816312</c:v>
                </c:pt>
                <c:pt idx="9">
                  <c:v>225710689</c:v>
                </c:pt>
                <c:pt idx="10">
                  <c:v>216781296</c:v>
                </c:pt>
                <c:pt idx="11">
                  <c:v>218142453</c:v>
                </c:pt>
                <c:pt idx="12">
                  <c:v>234989704</c:v>
                </c:pt>
                <c:pt idx="13">
                  <c:v>216849167</c:v>
                </c:pt>
                <c:pt idx="14">
                  <c:v>222844593</c:v>
                </c:pt>
                <c:pt idx="15">
                  <c:v>223355308</c:v>
                </c:pt>
                <c:pt idx="16">
                  <c:v>216321942</c:v>
                </c:pt>
                <c:pt idx="17">
                  <c:v>218948673</c:v>
                </c:pt>
                <c:pt idx="18">
                  <c:v>252722034</c:v>
                </c:pt>
                <c:pt idx="19">
                  <c:v>197439432</c:v>
                </c:pt>
                <c:pt idx="20">
                  <c:v>203599164</c:v>
                </c:pt>
                <c:pt idx="21">
                  <c:v>239529087</c:v>
                </c:pt>
                <c:pt idx="22">
                  <c:v>232077028</c:v>
                </c:pt>
                <c:pt idx="23">
                  <c:v>241672586</c:v>
                </c:pt>
                <c:pt idx="24">
                  <c:v>257413917</c:v>
                </c:pt>
                <c:pt idx="25">
                  <c:v>236540878</c:v>
                </c:pt>
                <c:pt idx="26">
                  <c:v>241975753</c:v>
                </c:pt>
                <c:pt idx="27">
                  <c:v>247423711</c:v>
                </c:pt>
                <c:pt idx="28">
                  <c:v>242549522</c:v>
                </c:pt>
                <c:pt idx="29">
                  <c:v>234836033</c:v>
                </c:pt>
                <c:pt idx="30">
                  <c:v>281127868</c:v>
                </c:pt>
                <c:pt idx="31">
                  <c:v>217159450</c:v>
                </c:pt>
                <c:pt idx="32">
                  <c:v>220883091</c:v>
                </c:pt>
                <c:pt idx="33">
                  <c:v>249729090</c:v>
                </c:pt>
                <c:pt idx="34">
                  <c:v>246271262</c:v>
                </c:pt>
                <c:pt idx="35">
                  <c:v>258980356</c:v>
                </c:pt>
                <c:pt idx="36">
                  <c:v>266737704</c:v>
                </c:pt>
                <c:pt idx="37">
                  <c:v>258755137</c:v>
                </c:pt>
                <c:pt idx="38">
                  <c:v>261376288</c:v>
                </c:pt>
                <c:pt idx="39">
                  <c:v>258424874</c:v>
                </c:pt>
                <c:pt idx="40">
                  <c:v>251711319</c:v>
                </c:pt>
                <c:pt idx="41">
                  <c:v>247829051</c:v>
                </c:pt>
                <c:pt idx="42">
                  <c:v>298211127</c:v>
                </c:pt>
                <c:pt idx="43">
                  <c:v>227408323</c:v>
                </c:pt>
                <c:pt idx="44">
                  <c:v>239055858</c:v>
                </c:pt>
                <c:pt idx="45">
                  <c:v>275837968</c:v>
                </c:pt>
                <c:pt idx="46">
                  <c:v>265436022</c:v>
                </c:pt>
                <c:pt idx="47">
                  <c:v>267087218</c:v>
                </c:pt>
                <c:pt idx="48">
                  <c:v>288783347</c:v>
                </c:pt>
                <c:pt idx="49">
                  <c:v>274983280</c:v>
                </c:pt>
                <c:pt idx="50">
                  <c:v>277319376</c:v>
                </c:pt>
                <c:pt idx="51">
                  <c:v>276088299</c:v>
                </c:pt>
                <c:pt idx="52">
                  <c:v>266860163</c:v>
                </c:pt>
                <c:pt idx="53">
                  <c:v>273138771</c:v>
                </c:pt>
                <c:pt idx="54">
                  <c:v>324740551</c:v>
                </c:pt>
                <c:pt idx="55">
                  <c:v>243061611</c:v>
                </c:pt>
                <c:pt idx="56">
                  <c:v>252314350</c:v>
                </c:pt>
                <c:pt idx="57">
                  <c:v>303064250</c:v>
                </c:pt>
                <c:pt idx="58">
                  <c:v>292155029</c:v>
                </c:pt>
                <c:pt idx="59">
                  <c:v>293367737</c:v>
                </c:pt>
                <c:pt idx="60">
                  <c:v>309540074</c:v>
                </c:pt>
                <c:pt idx="61">
                  <c:v>294442246</c:v>
                </c:pt>
                <c:pt idx="62">
                  <c:v>296390054</c:v>
                </c:pt>
                <c:pt idx="63">
                  <c:v>302671522</c:v>
                </c:pt>
                <c:pt idx="64">
                  <c:v>288816531</c:v>
                </c:pt>
                <c:pt idx="65">
                  <c:v>293931759</c:v>
                </c:pt>
                <c:pt idx="66">
                  <c:v>348161206</c:v>
                </c:pt>
                <c:pt idx="67">
                  <c:v>265129175</c:v>
                </c:pt>
                <c:pt idx="68">
                  <c:v>263193339</c:v>
                </c:pt>
                <c:pt idx="69">
                  <c:v>317859239</c:v>
                </c:pt>
                <c:pt idx="70">
                  <c:v>298140846</c:v>
                </c:pt>
                <c:pt idx="71">
                  <c:v>308789740</c:v>
                </c:pt>
                <c:pt idx="72">
                  <c:v>335996214</c:v>
                </c:pt>
                <c:pt idx="73">
                  <c:v>311600658</c:v>
                </c:pt>
                <c:pt idx="74">
                  <c:v>318687436</c:v>
                </c:pt>
                <c:pt idx="75">
                  <c:v>315349199</c:v>
                </c:pt>
                <c:pt idx="76">
                  <c:v>319886526</c:v>
                </c:pt>
                <c:pt idx="77">
                  <c:v>320929122</c:v>
                </c:pt>
                <c:pt idx="78">
                  <c:v>358774889</c:v>
                </c:pt>
                <c:pt idx="79">
                  <c:v>282642216</c:v>
                </c:pt>
                <c:pt idx="80">
                  <c:v>291155399</c:v>
                </c:pt>
                <c:pt idx="81">
                  <c:v>346014087</c:v>
                </c:pt>
                <c:pt idx="82">
                  <c:v>332891039</c:v>
                </c:pt>
                <c:pt idx="83">
                  <c:v>338640468</c:v>
                </c:pt>
                <c:pt idx="84">
                  <c:v>357762017</c:v>
                </c:pt>
                <c:pt idx="85">
                  <c:v>339431686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E8-46A3-AC7B-4D933B496F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5287775"/>
        <c:axId val="1490661327"/>
      </c:lineChart>
      <c:dateAx>
        <c:axId val="1545287775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0661327"/>
        <c:crosses val="autoZero"/>
        <c:auto val="1"/>
        <c:lblOffset val="100"/>
        <c:baseTimeUnit val="months"/>
      </c:dateAx>
      <c:valAx>
        <c:axId val="1490661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52877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Expenditures Over Time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55032364834153"/>
          <c:y val="0.17924412803032208"/>
          <c:w val="0.62928556261460888"/>
          <c:h val="0.67964143459703319"/>
        </c:manualLayout>
      </c:layout>
      <c:lineChart>
        <c:grouping val="standard"/>
        <c:varyColors val="0"/>
        <c:ser>
          <c:idx val="0"/>
          <c:order val="0"/>
          <c:tx>
            <c:strRef>
              <c:f>Inflation!$C$2</c:f>
              <c:strCache>
                <c:ptCount val="1"/>
                <c:pt idx="0">
                  <c:v>Actual Expenditure Dollars</c:v>
                </c:pt>
              </c:strCache>
            </c:strRef>
          </c:tx>
          <c:marker>
            <c:symbol val="none"/>
          </c:marker>
          <c:cat>
            <c:numRef>
              <c:f>Inflation!$A$3:$A$27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Inflation!$C$3:$C$27</c:f>
              <c:numCache>
                <c:formatCode>0.00,," $M"</c:formatCode>
                <c:ptCount val="25"/>
                <c:pt idx="0">
                  <c:v>4800000</c:v>
                </c:pt>
                <c:pt idx="1">
                  <c:v>5200000</c:v>
                </c:pt>
                <c:pt idx="2">
                  <c:v>5700000</c:v>
                </c:pt>
                <c:pt idx="3">
                  <c:v>6400000</c:v>
                </c:pt>
                <c:pt idx="4">
                  <c:v>7200000</c:v>
                </c:pt>
                <c:pt idx="5">
                  <c:v>7900000</c:v>
                </c:pt>
                <c:pt idx="6">
                  <c:v>8200000</c:v>
                </c:pt>
                <c:pt idx="7">
                  <c:v>8500000</c:v>
                </c:pt>
                <c:pt idx="8">
                  <c:v>9000000</c:v>
                </c:pt>
                <c:pt idx="9">
                  <c:v>9400000</c:v>
                </c:pt>
                <c:pt idx="10">
                  <c:v>9600000</c:v>
                </c:pt>
                <c:pt idx="11">
                  <c:v>10200000</c:v>
                </c:pt>
                <c:pt idx="12">
                  <c:v>10600000</c:v>
                </c:pt>
                <c:pt idx="13">
                  <c:v>10900000</c:v>
                </c:pt>
                <c:pt idx="14">
                  <c:v>11200000</c:v>
                </c:pt>
                <c:pt idx="15">
                  <c:v>11600000</c:v>
                </c:pt>
                <c:pt idx="16">
                  <c:v>11800000</c:v>
                </c:pt>
                <c:pt idx="17">
                  <c:v>11900000</c:v>
                </c:pt>
                <c:pt idx="18">
                  <c:v>12000000</c:v>
                </c:pt>
                <c:pt idx="19">
                  <c:v>12100000</c:v>
                </c:pt>
                <c:pt idx="20">
                  <c:v>12200000</c:v>
                </c:pt>
                <c:pt idx="21">
                  <c:v>12350000</c:v>
                </c:pt>
                <c:pt idx="22">
                  <c:v>12550000</c:v>
                </c:pt>
                <c:pt idx="23">
                  <c:v>13050000</c:v>
                </c:pt>
                <c:pt idx="24">
                  <c:v>13750000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A0-4137-826B-CA680B06DF97}"/>
            </c:ext>
          </c:extLst>
        </c:ser>
        <c:ser>
          <c:idx val="1"/>
          <c:order val="1"/>
          <c:tx>
            <c:strRef>
              <c:f>Inflation!$D$2</c:f>
              <c:strCache>
                <c:ptCount val="1"/>
                <c:pt idx="0">
                  <c:v>Inflation Adjusted Spending Using State and Local Price Deflator in 2010 Dollars</c:v>
                </c:pt>
              </c:strCache>
            </c:strRef>
          </c:tx>
          <c:marker>
            <c:symbol val="none"/>
          </c:marker>
          <c:cat>
            <c:numRef>
              <c:f>Inflation!$A$3:$A$27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Inflation!$D$3:$D$27</c:f>
              <c:numCache>
                <c:formatCode>0.00,," $M"</c:formatCode>
                <c:ptCount val="25"/>
                <c:pt idx="0">
                  <c:v>6893030</c:v>
                </c:pt>
                <c:pt idx="1">
                  <c:v>7219275</c:v>
                </c:pt>
                <c:pt idx="2">
                  <c:v>7740547</c:v>
                </c:pt>
                <c:pt idx="3">
                  <c:v>8416241</c:v>
                </c:pt>
                <c:pt idx="4">
                  <c:v>9050030</c:v>
                </c:pt>
                <c:pt idx="5">
                  <c:v>9398670</c:v>
                </c:pt>
                <c:pt idx="6">
                  <c:v>9284350</c:v>
                </c:pt>
                <c:pt idx="7">
                  <c:v>9129039</c:v>
                </c:pt>
                <c:pt idx="8">
                  <c:v>9204803</c:v>
                </c:pt>
                <c:pt idx="9">
                  <c:v>9669309</c:v>
                </c:pt>
                <c:pt idx="10">
                  <c:v>9600000</c:v>
                </c:pt>
                <c:pt idx="11">
                  <c:v>9878538</c:v>
                </c:pt>
                <c:pt idx="12">
                  <c:v>10034729</c:v>
                </c:pt>
                <c:pt idx="13">
                  <c:v>9987014</c:v>
                </c:pt>
                <c:pt idx="14">
                  <c:v>10036301</c:v>
                </c:pt>
                <c:pt idx="15">
                  <c:v>10419990</c:v>
                </c:pt>
                <c:pt idx="16">
                  <c:v>10606385</c:v>
                </c:pt>
                <c:pt idx="17">
                  <c:v>10429398</c:v>
                </c:pt>
                <c:pt idx="18">
                  <c:v>10100302</c:v>
                </c:pt>
                <c:pt idx="19">
                  <c:v>10038700</c:v>
                </c:pt>
                <c:pt idx="20">
                  <c:v>9841071</c:v>
                </c:pt>
                <c:pt idx="21">
                  <c:v>9342529</c:v>
                </c:pt>
                <c:pt idx="22">
                  <c:v>8777839</c:v>
                </c:pt>
                <c:pt idx="23">
                  <c:v>8953282</c:v>
                </c:pt>
                <c:pt idx="24">
                  <c:v>9253384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A0-4137-826B-CA680B06D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632192"/>
        <c:axId val="198633728"/>
      </c:lineChart>
      <c:catAx>
        <c:axId val="19863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8633728"/>
        <c:crosses val="autoZero"/>
        <c:auto val="1"/>
        <c:lblAlgn val="ctr"/>
        <c:lblOffset val="100"/>
        <c:tickLblSkip val="2"/>
        <c:noMultiLvlLbl val="0"/>
      </c:catAx>
      <c:valAx>
        <c:axId val="198633728"/>
        <c:scaling>
          <c:orientation val="minMax"/>
        </c:scaling>
        <c:delete val="0"/>
        <c:axPos val="l"/>
        <c:majorGridlines/>
        <c:numFmt formatCode="0.00,,&quot; $M&quot;" sourceLinked="1"/>
        <c:majorTickMark val="out"/>
        <c:minorTickMark val="none"/>
        <c:tickLblPos val="nextTo"/>
        <c:crossAx val="198632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343022172535869"/>
          <c:y val="0.21134730363177451"/>
          <c:w val="0.21260923165878226"/>
          <c:h val="0.658136231373634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Annual Percentage Change in Price Index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'Inflation (2)'!$E$1</c:f>
              <c:strCache>
                <c:ptCount val="1"/>
                <c:pt idx="0">
                  <c:v>State and Local Implicit Price Deflator Index</c:v>
                </c:pt>
              </c:strCache>
            </c:strRef>
          </c:tx>
          <c:marker>
            <c:symbol val="none"/>
          </c:marker>
          <c:cat>
            <c:numRef>
              <c:f>'Inflation (2)'!$A$2:$A$36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'Inflation (2)'!$E$2:$E$36</c:f>
              <c:numCache>
                <c:formatCode>0.0%</c:formatCode>
                <c:ptCount val="35"/>
                <c:pt idx="1">
                  <c:v>3.6621577037281305E-2</c:v>
                </c:pt>
                <c:pt idx="2">
                  <c:v>3.4075960110333092E-2</c:v>
                </c:pt>
                <c:pt idx="3">
                  <c:v>2.4909717662508379E-2</c:v>
                </c:pt>
                <c:pt idx="4">
                  <c:v>2.5765765765765725E-2</c:v>
                </c:pt>
                <c:pt idx="5">
                  <c:v>2.6640904034193946E-2</c:v>
                </c:pt>
                <c:pt idx="6">
                  <c:v>2.2945895593323495E-2</c:v>
                </c:pt>
                <c:pt idx="7">
                  <c:v>2.2245349291010852E-2</c:v>
                </c:pt>
                <c:pt idx="8">
                  <c:v>1.9488783041849977E-2</c:v>
                </c:pt>
                <c:pt idx="9">
                  <c:v>3.8392952673062419E-2</c:v>
                </c:pt>
                <c:pt idx="10">
                  <c:v>4.8067180711304891E-2</c:v>
                </c:pt>
                <c:pt idx="11">
                  <c:v>3.4376536129772317E-2</c:v>
                </c:pt>
                <c:pt idx="12">
                  <c:v>2.2335572170827378E-2</c:v>
                </c:pt>
                <c:pt idx="13">
                  <c:v>3.2662927267656405E-2</c:v>
                </c:pt>
                <c:pt idx="14">
                  <c:v>4.6214326441196718E-2</c:v>
                </c:pt>
                <c:pt idx="15">
                  <c:v>5.6521240283395002E-2</c:v>
                </c:pt>
                <c:pt idx="16">
                  <c:v>5.0755426446034146E-2</c:v>
                </c:pt>
                <c:pt idx="17">
                  <c:v>5.422060305402665E-2</c:v>
                </c:pt>
                <c:pt idx="18">
                  <c:v>5.0108451895150896E-2</c:v>
                </c:pt>
                <c:pt idx="19">
                  <c:v>-5.7298230873360501E-3</c:v>
                </c:pt>
                <c:pt idx="20">
                  <c:v>2.8649898475370028E-2</c:v>
                </c:pt>
                <c:pt idx="21">
                  <c:v>3.2541475548253151E-2</c:v>
                </c:pt>
                <c:pt idx="22">
                  <c:v>2.304020156032438E-2</c:v>
                </c:pt>
                <c:pt idx="23">
                  <c:v>3.3214875943788691E-2</c:v>
                </c:pt>
                <c:pt idx="24">
                  <c:v>2.247684362389446E-2</c:v>
                </c:pt>
                <c:pt idx="25">
                  <c:v>-2.4232137744878424E-3</c:v>
                </c:pt>
                <c:pt idx="26">
                  <c:v>-6.3546076029807885E-4</c:v>
                </c:pt>
                <c:pt idx="27">
                  <c:v>2.5588431362494335E-2</c:v>
                </c:pt>
                <c:pt idx="28">
                  <c:v>4.1260000000000074E-2</c:v>
                </c:pt>
                <c:pt idx="29">
                  <c:v>1.452086894723692E-2</c:v>
                </c:pt>
                <c:pt idx="30">
                  <c:v>2.8512467104640393E-2</c:v>
                </c:pt>
                <c:pt idx="31">
                  <c:v>6.6313851817763503E-2</c:v>
                </c:pt>
                <c:pt idx="32">
                  <c:v>8.1567476587113275E-2</c:v>
                </c:pt>
                <c:pt idx="33">
                  <c:v>1.9464506603886544E-2</c:v>
                </c:pt>
                <c:pt idx="34">
                  <c:v>1.9468624749499064E-2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9D-4A1B-845A-AA881DF32626}"/>
            </c:ext>
          </c:extLst>
        </c:ser>
        <c:ser>
          <c:idx val="1"/>
          <c:order val="1"/>
          <c:tx>
            <c:strRef>
              <c:f>'Inflation (2)'!$F$1</c:f>
              <c:strCache>
                <c:ptCount val="1"/>
                <c:pt idx="0">
                  <c:v>Consumer Price Index Average Annual</c:v>
                </c:pt>
              </c:strCache>
            </c:strRef>
          </c:tx>
          <c:marker>
            <c:symbol val="none"/>
          </c:marker>
          <c:cat>
            <c:numRef>
              <c:f>'Inflation (2)'!$A$2:$A$36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'Inflation (2)'!$F$2:$F$36</c:f>
              <c:numCache>
                <c:formatCode>0.0%</c:formatCode>
                <c:ptCount val="35"/>
                <c:pt idx="1">
                  <c:v>4.2081101759755102E-2</c:v>
                </c:pt>
                <c:pt idx="2">
                  <c:v>3.0102790014684411E-2</c:v>
                </c:pt>
                <c:pt idx="3">
                  <c:v>2.9935851746258013E-2</c:v>
                </c:pt>
                <c:pt idx="4">
                  <c:v>2.5605536332179879E-2</c:v>
                </c:pt>
                <c:pt idx="5">
                  <c:v>2.8340080971660075E-2</c:v>
                </c:pt>
                <c:pt idx="6">
                  <c:v>2.9527559055118058E-2</c:v>
                </c:pt>
                <c:pt idx="7">
                  <c:v>2.2944550669216079E-2</c:v>
                </c:pt>
                <c:pt idx="8">
                  <c:v>1.5576323987538832E-2</c:v>
                </c:pt>
                <c:pt idx="9">
                  <c:v>2.208588957055202E-2</c:v>
                </c:pt>
                <c:pt idx="10">
                  <c:v>3.3613445378151141E-2</c:v>
                </c:pt>
                <c:pt idx="11">
                  <c:v>2.8455284552845628E-2</c:v>
                </c:pt>
                <c:pt idx="12">
                  <c:v>1.5810276679842028E-2</c:v>
                </c:pt>
                <c:pt idx="13">
                  <c:v>2.2790439132851503E-2</c:v>
                </c:pt>
                <c:pt idx="14">
                  <c:v>2.6630434782608736E-2</c:v>
                </c:pt>
                <c:pt idx="15">
                  <c:v>3.3880359978824881E-2</c:v>
                </c:pt>
                <c:pt idx="16">
                  <c:v>3.2258064516129004E-2</c:v>
                </c:pt>
                <c:pt idx="17">
                  <c:v>2.84821428571429E-2</c:v>
                </c:pt>
                <c:pt idx="18">
                  <c:v>3.8395501152684863E-2</c:v>
                </c:pt>
                <c:pt idx="19">
                  <c:v>-3.5577767146764971E-3</c:v>
                </c:pt>
                <c:pt idx="20">
                  <c:v>1.6402765024214894E-2</c:v>
                </c:pt>
                <c:pt idx="21">
                  <c:v>3.1565285981582702E-2</c:v>
                </c:pt>
                <c:pt idx="22">
                  <c:v>2.0694499397614363E-2</c:v>
                </c:pt>
                <c:pt idx="23">
                  <c:v>1.4647595320435247E-2</c:v>
                </c:pt>
                <c:pt idx="24">
                  <c:v>1.6221877857286904E-2</c:v>
                </c:pt>
                <c:pt idx="25">
                  <c:v>1.1869762097864722E-3</c:v>
                </c:pt>
                <c:pt idx="26">
                  <c:v>1.2615128872612624E-2</c:v>
                </c:pt>
                <c:pt idx="27">
                  <c:v>2.1303545313261729E-2</c:v>
                </c:pt>
                <c:pt idx="28">
                  <c:v>2.4424771540469958E-2</c:v>
                </c:pt>
                <c:pt idx="29">
                  <c:v>1.811976567757978E-2</c:v>
                </c:pt>
                <c:pt idx="30">
                  <c:v>1.2336841940568721E-2</c:v>
                </c:pt>
                <c:pt idx="31">
                  <c:v>4.6980228815622471E-2</c:v>
                </c:pt>
                <c:pt idx="32">
                  <c:v>8.0027309296231808E-2</c:v>
                </c:pt>
                <c:pt idx="33">
                  <c:v>4.1164511113768842E-2</c:v>
                </c:pt>
                <c:pt idx="34">
                  <c:v>2.9494391241278395E-2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9D-4A1B-845A-AA881DF32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005120"/>
        <c:axId val="198006656"/>
      </c:lineChart>
      <c:catAx>
        <c:axId val="198005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en-US"/>
          </a:p>
        </c:txPr>
        <c:crossAx val="198006656"/>
        <c:crosses val="autoZero"/>
        <c:auto val="1"/>
        <c:lblAlgn val="ctr"/>
        <c:lblOffset val="100"/>
        <c:tickLblSkip val="2"/>
        <c:noMultiLvlLbl val="0"/>
      </c:catAx>
      <c:valAx>
        <c:axId val="19800665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9800512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Price Indexes with 2008</a:t>
            </a:r>
          </a:p>
          <a:p>
            <a:pPr>
              <a:defRPr/>
            </a:pPr>
            <a:r>
              <a:rPr lang="en-US"/>
              <a:t> = 1.00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'Inflation (2)'!$H$1</c:f>
              <c:strCache>
                <c:ptCount val="1"/>
                <c:pt idx="0">
                  <c:v>State and Local Implicit Price Deflator Index</c:v>
                </c:pt>
              </c:strCache>
            </c:strRef>
          </c:tx>
          <c:marker>
            <c:symbol val="none"/>
          </c:marker>
          <c:cat>
            <c:numRef>
              <c:f>'Inflation (2)'!$G$2:$G$36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'Inflation (2)'!$H$2:$H$36</c:f>
              <c:numCache>
                <c:formatCode>0.000</c:formatCode>
                <c:ptCount val="35"/>
                <c:pt idx="0">
                  <c:v>0.53056294636605528</c:v>
                </c:pt>
                <c:pt idx="1">
                  <c:v>0.54999299817952674</c:v>
                </c:pt>
                <c:pt idx="2">
                  <c:v>0.56873453764645476</c:v>
                </c:pt>
                <c:pt idx="3">
                  <c:v>0.58290155440414515</c:v>
                </c:pt>
                <c:pt idx="4">
                  <c:v>0.59792045931942317</c:v>
                </c:pt>
                <c:pt idx="5">
                  <c:v>0.61384960089623308</c:v>
                </c:pt>
                <c:pt idx="6">
                  <c:v>0.62793492974840126</c:v>
                </c:pt>
                <c:pt idx="7">
                  <c:v>0.6419035615926808</c:v>
                </c:pt>
                <c:pt idx="8">
                  <c:v>0.65441348083835138</c:v>
                </c:pt>
                <c:pt idx="9">
                  <c:v>0.67953834663679236</c:v>
                </c:pt>
                <c:pt idx="10">
                  <c:v>0.71220183914484436</c:v>
                </c:pt>
                <c:pt idx="11">
                  <c:v>0.73668487139989736</c:v>
                </c:pt>
                <c:pt idx="12">
                  <c:v>0.75313914951220651</c:v>
                </c:pt>
                <c:pt idx="13">
                  <c:v>0.77773887877514825</c:v>
                </c:pt>
                <c:pt idx="14">
                  <c:v>0.81368155720487334</c:v>
                </c:pt>
                <c:pt idx="15">
                  <c:v>0.85967184801381702</c:v>
                </c:pt>
                <c:pt idx="16">
                  <c:v>0.90330485926340864</c:v>
                </c:pt>
                <c:pt idx="17">
                  <c:v>0.95228259347430333</c:v>
                </c:pt>
                <c:pt idx="18">
                  <c:v>1</c:v>
                </c:pt>
                <c:pt idx="19">
                  <c:v>0.99427017691266395</c:v>
                </c:pt>
                <c:pt idx="20">
                  <c:v>1.0227559165383</c:v>
                </c:pt>
                <c:pt idx="21">
                  <c:v>1.0560379031881624</c:v>
                </c:pt>
                <c:pt idx="22">
                  <c:v>1.0803692293329599</c:v>
                </c:pt>
                <c:pt idx="23">
                  <c:v>1.1162535592587406</c:v>
                </c:pt>
                <c:pt idx="24">
                  <c:v>1.141343415954815</c:v>
                </c:pt>
                <c:pt idx="25">
                  <c:v>1.1385776968678523</c:v>
                </c:pt>
                <c:pt idx="26">
                  <c:v>1.1378541754189424</c:v>
                </c:pt>
                <c:pt idx="27">
                  <c:v>1.1669700788871775</c:v>
                </c:pt>
                <c:pt idx="28">
                  <c:v>1.2151192643420625</c:v>
                </c:pt>
                <c:pt idx="29">
                  <c:v>1.2327638519348365</c:v>
                </c:pt>
                <c:pt idx="30">
                  <c:v>1.2679129907109183</c:v>
                </c:pt>
                <c:pt idx="31">
                  <c:v>1.3519931848947395</c:v>
                </c:pt>
                <c:pt idx="32">
                  <c:v>1.4622718573495777</c:v>
                </c:pt>
                <c:pt idx="33">
                  <c:v>1.490734257573636</c:v>
                </c:pt>
                <c:pt idx="34">
                  <c:v>1.51975680343556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32-4C02-845E-F8D7CA0AFDF0}"/>
            </c:ext>
          </c:extLst>
        </c:ser>
        <c:ser>
          <c:idx val="1"/>
          <c:order val="1"/>
          <c:tx>
            <c:strRef>
              <c:f>'Inflation (2)'!$I$1</c:f>
              <c:strCache>
                <c:ptCount val="1"/>
                <c:pt idx="0">
                  <c:v>Consumer Price Index Average Annual</c:v>
                </c:pt>
              </c:strCache>
            </c:strRef>
          </c:tx>
          <c:marker>
            <c:symbol val="none"/>
          </c:marker>
          <c:cat>
            <c:numRef>
              <c:f>'Inflation (2)'!$G$2:$G$36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'Inflation (2)'!$I$2:$I$36</c:f>
              <c:numCache>
                <c:formatCode>0.000</c:formatCode>
                <c:ptCount val="35"/>
                <c:pt idx="0">
                  <c:v>0.60705145771308333</c:v>
                </c:pt>
                <c:pt idx="1">
                  <c:v>0.63259685187851533</c:v>
                </c:pt>
                <c:pt idx="2">
                  <c:v>0.65163978207456474</c:v>
                </c:pt>
                <c:pt idx="3">
                  <c:v>0.67114717398271273</c:v>
                </c:pt>
                <c:pt idx="4">
                  <c:v>0.68833225733036696</c:v>
                </c:pt>
                <c:pt idx="5">
                  <c:v>0.70783964923851506</c:v>
                </c:pt>
                <c:pt idx="6">
                  <c:v>0.72874042628295943</c:v>
                </c:pt>
                <c:pt idx="7">
                  <c:v>0.74546104791851486</c:v>
                </c:pt>
                <c:pt idx="8">
                  <c:v>0.75707259072098387</c:v>
                </c:pt>
                <c:pt idx="9">
                  <c:v>0.77379321235653942</c:v>
                </c:pt>
                <c:pt idx="10">
                  <c:v>0.7998030682340701</c:v>
                </c:pt>
                <c:pt idx="11">
                  <c:v>0.82256169212690955</c:v>
                </c:pt>
                <c:pt idx="12">
                  <c:v>0.83556662006567495</c:v>
                </c:pt>
                <c:pt idx="13">
                  <c:v>0.85460955026172414</c:v>
                </c:pt>
                <c:pt idx="14">
                  <c:v>0.87736817415456358</c:v>
                </c:pt>
                <c:pt idx="15">
                  <c:v>0.90709372372888453</c:v>
                </c:pt>
                <c:pt idx="16">
                  <c:v>0.93635481159110645</c:v>
                </c:pt>
                <c:pt idx="17">
                  <c:v>0.96302420309981751</c:v>
                </c:pt>
                <c:pt idx="18">
                  <c:v>1</c:v>
                </c:pt>
                <c:pt idx="19">
                  <c:v>0.9964422232853235</c:v>
                </c:pt>
                <c:pt idx="20">
                  <c:v>1.0127866309340789</c:v>
                </c:pt>
                <c:pt idx="21">
                  <c:v>1.0447555305778369</c:v>
                </c:pt>
                <c:pt idx="22">
                  <c:v>1.0663762232760343</c:v>
                </c:pt>
                <c:pt idx="23">
                  <c:v>1.0819960706539156</c:v>
                </c:pt>
                <c:pt idx="24">
                  <c:v>1.0995480787541279</c:v>
                </c:pt>
                <c:pt idx="25">
                  <c:v>1.1008532161651254</c:v>
                </c:pt>
                <c:pt idx="26">
                  <c:v>1.1147406213568785</c:v>
                </c:pt>
                <c:pt idx="27">
                  <c:v>1.1384885486964882</c:v>
                </c:pt>
                <c:pt idx="28">
                  <c:v>1.1662958713998413</c:v>
                </c:pt>
                <c:pt idx="29">
                  <c:v>1.1874288793003349</c:v>
                </c:pt>
                <c:pt idx="30">
                  <c:v>1.2020780016999297</c:v>
                </c:pt>
                <c:pt idx="31">
                  <c:v>1.2585519012740187</c:v>
                </c:pt>
                <c:pt idx="32">
                  <c:v>1.3592704235426352</c:v>
                </c:pt>
                <c:pt idx="33">
                  <c:v>1.4152241259991734</c:v>
                </c:pt>
                <c:pt idx="34">
                  <c:v>1.4569653000654892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32-4C02-845E-F8D7CA0AF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020096"/>
        <c:axId val="198034176"/>
      </c:lineChart>
      <c:catAx>
        <c:axId val="198020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8034176"/>
        <c:crosses val="autoZero"/>
        <c:auto val="1"/>
        <c:lblAlgn val="ctr"/>
        <c:lblOffset val="100"/>
        <c:tickLblSkip val="2"/>
        <c:noMultiLvlLbl val="0"/>
      </c:catAx>
      <c:valAx>
        <c:axId val="198034176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1980200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Expenditures Over Time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003158276981355"/>
          <c:y val="0.17924412803032208"/>
          <c:w val="0.65365203022484986"/>
          <c:h val="0.66818109397667147"/>
        </c:manualLayout>
      </c:layout>
      <c:lineChart>
        <c:grouping val="standard"/>
        <c:varyColors val="0"/>
        <c:ser>
          <c:idx val="0"/>
          <c:order val="0"/>
          <c:tx>
            <c:strRef>
              <c:f>'Inflation (3)'!$B$2</c:f>
              <c:strCache>
                <c:ptCount val="1"/>
                <c:pt idx="0">
                  <c:v>Actual Expenditures</c:v>
                </c:pt>
              </c:strCache>
            </c:strRef>
          </c:tx>
          <c:marker>
            <c:symbol val="none"/>
          </c:marker>
          <c:cat>
            <c:numRef>
              <c:f>'Inflation (3)'!$A$3:$A$27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'Inflation (3)'!$B$3:$B$27</c:f>
              <c:numCache>
                <c:formatCode>0.00,," $M"</c:formatCode>
                <c:ptCount val="25"/>
                <c:pt idx="0">
                  <c:v>4800000</c:v>
                </c:pt>
                <c:pt idx="1">
                  <c:v>5200000</c:v>
                </c:pt>
                <c:pt idx="2">
                  <c:v>5700000</c:v>
                </c:pt>
                <c:pt idx="3">
                  <c:v>6400000</c:v>
                </c:pt>
                <c:pt idx="4">
                  <c:v>7200000</c:v>
                </c:pt>
                <c:pt idx="5">
                  <c:v>7900000</c:v>
                </c:pt>
                <c:pt idx="6">
                  <c:v>8200000</c:v>
                </c:pt>
                <c:pt idx="7">
                  <c:v>8500000</c:v>
                </c:pt>
                <c:pt idx="8">
                  <c:v>9000000</c:v>
                </c:pt>
                <c:pt idx="9">
                  <c:v>9400000</c:v>
                </c:pt>
                <c:pt idx="10">
                  <c:v>9600000</c:v>
                </c:pt>
                <c:pt idx="11">
                  <c:v>10200000</c:v>
                </c:pt>
                <c:pt idx="12">
                  <c:v>10600000</c:v>
                </c:pt>
                <c:pt idx="13">
                  <c:v>10900000</c:v>
                </c:pt>
                <c:pt idx="14">
                  <c:v>11200000</c:v>
                </c:pt>
                <c:pt idx="15">
                  <c:v>11600000</c:v>
                </c:pt>
                <c:pt idx="16">
                  <c:v>11800000</c:v>
                </c:pt>
                <c:pt idx="17">
                  <c:v>11900000</c:v>
                </c:pt>
                <c:pt idx="18">
                  <c:v>12000000</c:v>
                </c:pt>
                <c:pt idx="19">
                  <c:v>12100000</c:v>
                </c:pt>
                <c:pt idx="20">
                  <c:v>12200000</c:v>
                </c:pt>
                <c:pt idx="21">
                  <c:v>12350000</c:v>
                </c:pt>
                <c:pt idx="22">
                  <c:v>12550000</c:v>
                </c:pt>
                <c:pt idx="23">
                  <c:v>13050000</c:v>
                </c:pt>
                <c:pt idx="24">
                  <c:v>13750000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8-47FA-97F5-423BDE361EF2}"/>
            </c:ext>
          </c:extLst>
        </c:ser>
        <c:ser>
          <c:idx val="1"/>
          <c:order val="1"/>
          <c:tx>
            <c:strRef>
              <c:f>'Inflation (3)'!$D$2</c:f>
              <c:strCache>
                <c:ptCount val="1"/>
                <c:pt idx="0">
                  <c:v>State and Local Inflation Adjusted Expenditures-2019 Dollars</c:v>
                </c:pt>
              </c:strCache>
            </c:strRef>
          </c:tx>
          <c:marker>
            <c:symbol val="none"/>
          </c:marker>
          <c:cat>
            <c:numRef>
              <c:f>'Inflation (3)'!$A$3:$A$27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'Inflation (3)'!$D$3:$D$27</c:f>
              <c:numCache>
                <c:formatCode>0.00,," $M"</c:formatCode>
                <c:ptCount val="25"/>
                <c:pt idx="0">
                  <c:v>8308412.2562674098</c:v>
                </c:pt>
                <c:pt idx="1">
                  <c:v>8701647.4464579914</c:v>
                </c:pt>
                <c:pt idx="2">
                  <c:v>9329954.4454429951</c:v>
                </c:pt>
                <c:pt idx="3">
                  <c:v>10144392.761756144</c:v>
                </c:pt>
                <c:pt idx="4">
                  <c:v>10908321.1427588</c:v>
                </c:pt>
                <c:pt idx="5">
                  <c:v>11328548.739598462</c:v>
                </c:pt>
                <c:pt idx="6">
                  <c:v>11190755.238611994</c:v>
                </c:pt>
                <c:pt idx="7">
                  <c:v>11003553.790914552</c:v>
                </c:pt>
                <c:pt idx="8">
                  <c:v>11094874.667413529</c:v>
                </c:pt>
                <c:pt idx="9">
                  <c:v>11654759.92065821</c:v>
                </c:pt>
                <c:pt idx="10">
                  <c:v>11571219.27842815</c:v>
                </c:pt>
                <c:pt idx="11">
                  <c:v>11906950.737065442</c:v>
                </c:pt>
                <c:pt idx="12">
                  <c:v>12095213.817388393</c:v>
                </c:pt>
                <c:pt idx="13">
                  <c:v>12037700.462082088</c:v>
                </c:pt>
                <c:pt idx="14">
                  <c:v>12097108.502719725</c:v>
                </c:pt>
                <c:pt idx="15">
                  <c:v>12559582.645771626</c:v>
                </c:pt>
                <c:pt idx="16">
                  <c:v>12784251.064047998</c:v>
                </c:pt>
                <c:pt idx="17">
                  <c:v>12570922.000000002</c:v>
                </c:pt>
                <c:pt idx="18">
                  <c:v>12174250.427366843</c:v>
                </c:pt>
                <c:pt idx="19">
                  <c:v>12100000</c:v>
                </c:pt>
                <c:pt idx="20">
                  <c:v>11861791.072250346</c:v>
                </c:pt>
                <c:pt idx="21">
                  <c:v>11260880.4108584</c:v>
                </c:pt>
                <c:pt idx="22">
                  <c:v>10580239.415825386</c:v>
                </c:pt>
                <c:pt idx="23">
                  <c:v>10791707.634018036</c:v>
                </c:pt>
                <c:pt idx="24">
                  <c:v>11153431.210694844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8-47FA-97F5-423BDE361EF2}"/>
            </c:ext>
          </c:extLst>
        </c:ser>
        <c:ser>
          <c:idx val="2"/>
          <c:order val="2"/>
          <c:tx>
            <c:strRef>
              <c:f>'Inflation (3)'!$G$2</c:f>
              <c:strCache>
                <c:ptCount val="1"/>
                <c:pt idx="0">
                  <c:v>CPI Inflation Adjusted Expenditures-2019 Dollars</c:v>
                </c:pt>
              </c:strCache>
            </c:strRef>
          </c:tx>
          <c:marker>
            <c:symbol val="none"/>
          </c:marker>
          <c:cat>
            <c:numRef>
              <c:f>'Inflation (3)'!$A$3:$A$27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'Inflation (3)'!$G$3:$G$27</c:f>
              <c:numCache>
                <c:formatCode>0.00,," $M"</c:formatCode>
                <c:ptCount val="25"/>
                <c:pt idx="0">
                  <c:v>7126327.5261324057</c:v>
                </c:pt>
                <c:pt idx="1">
                  <c:v>7506586.1095426325</c:v>
                </c:pt>
                <c:pt idx="2">
                  <c:v>8100305.169538632</c:v>
                </c:pt>
                <c:pt idx="3">
                  <c:v>8892417.3913043477</c:v>
                </c:pt>
                <c:pt idx="4">
                  <c:v>9744470.0899947062</c:v>
                </c:pt>
                <c:pt idx="5">
                  <c:v>10341476.19047619</c:v>
                </c:pt>
                <c:pt idx="6">
                  <c:v>10398747.023809524</c:v>
                </c:pt>
                <c:pt idx="7">
                  <c:v>10480676.85273606</c:v>
                </c:pt>
                <c:pt idx="8">
                  <c:v>10686859.913703015</c:v>
                </c:pt>
                <c:pt idx="9">
                  <c:v>11201684.557908425</c:v>
                </c:pt>
                <c:pt idx="10">
                  <c:v>11255398.613200277</c:v>
                </c:pt>
                <c:pt idx="11">
                  <c:v>11592926.971312223</c:v>
                </c:pt>
                <c:pt idx="12">
                  <c:v>11803288.413460283</c:v>
                </c:pt>
                <c:pt idx="13">
                  <c:v>11962127.345389923</c:v>
                </c:pt>
                <c:pt idx="14">
                  <c:v>12095154.095701542</c:v>
                </c:pt>
                <c:pt idx="15">
                  <c:v>12512272.115502262</c:v>
                </c:pt>
                <c:pt idx="16">
                  <c:v>12569435.891453166</c:v>
                </c:pt>
                <c:pt idx="17">
                  <c:v>12411546.589425588</c:v>
                </c:pt>
                <c:pt idx="18">
                  <c:v>12217437.188130958</c:v>
                </c:pt>
                <c:pt idx="19">
                  <c:v>12100000</c:v>
                </c:pt>
                <c:pt idx="20">
                  <c:v>12051324.711855371</c:v>
                </c:pt>
                <c:pt idx="21">
                  <c:v>11652079.381481344</c:v>
                </c:pt>
                <c:pt idx="22">
                  <c:v>10963405.204079891</c:v>
                </c:pt>
                <c:pt idx="23">
                  <c:v>10949464.887004353</c:v>
                </c:pt>
                <c:pt idx="24">
                  <c:v>11206270.382448858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88-47FA-97F5-423BDE361E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165248"/>
        <c:axId val="198166784"/>
      </c:lineChart>
      <c:catAx>
        <c:axId val="198165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8166784"/>
        <c:crosses val="autoZero"/>
        <c:auto val="1"/>
        <c:lblAlgn val="ctr"/>
        <c:lblOffset val="100"/>
        <c:noMultiLvlLbl val="0"/>
      </c:catAx>
      <c:valAx>
        <c:axId val="198166784"/>
        <c:scaling>
          <c:orientation val="minMax"/>
        </c:scaling>
        <c:delete val="0"/>
        <c:axPos val="l"/>
        <c:majorGridlines/>
        <c:numFmt formatCode="0.00,,&quot; $M&quot;" sourceLinked="1"/>
        <c:majorTickMark val="out"/>
        <c:minorTickMark val="none"/>
        <c:tickLblPos val="nextTo"/>
        <c:crossAx val="1981652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153679315388201"/>
          <c:y val="0.18152834729524628"/>
          <c:w val="0.22668343660729012"/>
          <c:h val="0.658136231373634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'Process Behav Template'!$O$2</c:f>
          <c:strCache>
            <c:ptCount val="1"/>
            <c:pt idx="0">
              <c:v>Range Chart for Waiting in Line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'Process Behav Template'!$A$5</c:f>
              <c:strCache>
                <c:ptCount val="1"/>
                <c:pt idx="0">
                  <c:v>Trip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[0]!Period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[0]!Range</c:f>
              <c:numCache>
                <c:formatCode>General</c:formatCode>
                <c:ptCount val="24"/>
                <c:pt idx="1">
                  <c:v>1.1000000000000001</c:v>
                </c:pt>
                <c:pt idx="2">
                  <c:v>1.6999999999999997</c:v>
                </c:pt>
                <c:pt idx="3">
                  <c:v>1.2999999999999998</c:v>
                </c:pt>
                <c:pt idx="4">
                  <c:v>0.20000000000000018</c:v>
                </c:pt>
                <c:pt idx="5">
                  <c:v>1.7000000000000002</c:v>
                </c:pt>
                <c:pt idx="6">
                  <c:v>3.5</c:v>
                </c:pt>
                <c:pt idx="7">
                  <c:v>0.29999999999999993</c:v>
                </c:pt>
                <c:pt idx="8">
                  <c:v>1.6</c:v>
                </c:pt>
                <c:pt idx="9">
                  <c:v>0.60000000000000009</c:v>
                </c:pt>
                <c:pt idx="10">
                  <c:v>0.5</c:v>
                </c:pt>
                <c:pt idx="11">
                  <c:v>0.49999999999999956</c:v>
                </c:pt>
                <c:pt idx="12">
                  <c:v>0.29999999999999982</c:v>
                </c:pt>
                <c:pt idx="13">
                  <c:v>1.2999999999999998</c:v>
                </c:pt>
                <c:pt idx="14">
                  <c:v>0.29999999999999982</c:v>
                </c:pt>
                <c:pt idx="15">
                  <c:v>1.5</c:v>
                </c:pt>
                <c:pt idx="16">
                  <c:v>0.20000000000000018</c:v>
                </c:pt>
                <c:pt idx="17">
                  <c:v>0.49999999999999956</c:v>
                </c:pt>
                <c:pt idx="18">
                  <c:v>1.2000000000000002</c:v>
                </c:pt>
                <c:pt idx="19">
                  <c:v>2.4</c:v>
                </c:pt>
                <c:pt idx="20">
                  <c:v>1.2999999999999998</c:v>
                </c:pt>
                <c:pt idx="21">
                  <c:v>1</c:v>
                </c:pt>
                <c:pt idx="22">
                  <c:v>1.2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79-4A24-B5C3-85B4F1482C31}"/>
            </c:ext>
          </c:extLst>
        </c:ser>
        <c:ser>
          <c:idx val="1"/>
          <c:order val="1"/>
          <c:tx>
            <c:strRef>
              <c:f>'Process Behav Template'!$F$5</c:f>
              <c:strCache>
                <c:ptCount val="1"/>
                <c:pt idx="0">
                  <c:v>URL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[0]!Period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[0]!URL</c:f>
              <c:numCache>
                <c:formatCode>General</c:formatCode>
                <c:ptCount val="24"/>
                <c:pt idx="1">
                  <c:v>3.891991304347826</c:v>
                </c:pt>
                <c:pt idx="2">
                  <c:v>3.891991304347826</c:v>
                </c:pt>
                <c:pt idx="3">
                  <c:v>3.891991304347826</c:v>
                </c:pt>
                <c:pt idx="4">
                  <c:v>3.891991304347826</c:v>
                </c:pt>
                <c:pt idx="5">
                  <c:v>3.891991304347826</c:v>
                </c:pt>
                <c:pt idx="6">
                  <c:v>3.891991304347826</c:v>
                </c:pt>
                <c:pt idx="7">
                  <c:v>3.891991304347826</c:v>
                </c:pt>
                <c:pt idx="8">
                  <c:v>3.891991304347826</c:v>
                </c:pt>
                <c:pt idx="9">
                  <c:v>3.891991304347826</c:v>
                </c:pt>
                <c:pt idx="10">
                  <c:v>3.891991304347826</c:v>
                </c:pt>
                <c:pt idx="11">
                  <c:v>3.891991304347826</c:v>
                </c:pt>
                <c:pt idx="12">
                  <c:v>3.891991304347826</c:v>
                </c:pt>
                <c:pt idx="13">
                  <c:v>3.891991304347826</c:v>
                </c:pt>
                <c:pt idx="14">
                  <c:v>3.891991304347826</c:v>
                </c:pt>
                <c:pt idx="15">
                  <c:v>3.891991304347826</c:v>
                </c:pt>
                <c:pt idx="16">
                  <c:v>3.891991304347826</c:v>
                </c:pt>
                <c:pt idx="17">
                  <c:v>3.891991304347826</c:v>
                </c:pt>
                <c:pt idx="18">
                  <c:v>3.891991304347826</c:v>
                </c:pt>
                <c:pt idx="19">
                  <c:v>3.891991304347826</c:v>
                </c:pt>
                <c:pt idx="20">
                  <c:v>3.891991304347826</c:v>
                </c:pt>
                <c:pt idx="21">
                  <c:v>3.891991304347826</c:v>
                </c:pt>
                <c:pt idx="22">
                  <c:v>3.891991304347826</c:v>
                </c:pt>
                <c:pt idx="23">
                  <c:v>3.891991304347826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79-4A24-B5C3-85B4F1482C31}"/>
            </c:ext>
          </c:extLst>
        </c:ser>
        <c:ser>
          <c:idx val="3"/>
          <c:order val="2"/>
          <c:tx>
            <c:strRef>
              <c:f>'Process Behav Template'!$E$5</c:f>
              <c:strCache>
                <c:ptCount val="1"/>
                <c:pt idx="0">
                  <c:v>RangeAvg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[0]!Period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[0]!RangeAvg</c:f>
              <c:numCache>
                <c:formatCode>General</c:formatCode>
                <c:ptCount val="24"/>
                <c:pt idx="1">
                  <c:v>1.191304347826087</c:v>
                </c:pt>
                <c:pt idx="2">
                  <c:v>1.191304347826087</c:v>
                </c:pt>
                <c:pt idx="3">
                  <c:v>1.191304347826087</c:v>
                </c:pt>
                <c:pt idx="4">
                  <c:v>1.191304347826087</c:v>
                </c:pt>
                <c:pt idx="5">
                  <c:v>1.191304347826087</c:v>
                </c:pt>
                <c:pt idx="6">
                  <c:v>1.191304347826087</c:v>
                </c:pt>
                <c:pt idx="7">
                  <c:v>1.191304347826087</c:v>
                </c:pt>
                <c:pt idx="8">
                  <c:v>1.191304347826087</c:v>
                </c:pt>
                <c:pt idx="9">
                  <c:v>1.191304347826087</c:v>
                </c:pt>
                <c:pt idx="10">
                  <c:v>1.191304347826087</c:v>
                </c:pt>
                <c:pt idx="11">
                  <c:v>1.191304347826087</c:v>
                </c:pt>
                <c:pt idx="12">
                  <c:v>1.191304347826087</c:v>
                </c:pt>
                <c:pt idx="13">
                  <c:v>1.191304347826087</c:v>
                </c:pt>
                <c:pt idx="14">
                  <c:v>1.191304347826087</c:v>
                </c:pt>
                <c:pt idx="15">
                  <c:v>1.191304347826087</c:v>
                </c:pt>
                <c:pt idx="16">
                  <c:v>1.191304347826087</c:v>
                </c:pt>
                <c:pt idx="17">
                  <c:v>1.191304347826087</c:v>
                </c:pt>
                <c:pt idx="18">
                  <c:v>1.191304347826087</c:v>
                </c:pt>
                <c:pt idx="19">
                  <c:v>1.191304347826087</c:v>
                </c:pt>
                <c:pt idx="20">
                  <c:v>1.191304347826087</c:v>
                </c:pt>
                <c:pt idx="21">
                  <c:v>1.191304347826087</c:v>
                </c:pt>
                <c:pt idx="22">
                  <c:v>1.191304347826087</c:v>
                </c:pt>
                <c:pt idx="23">
                  <c:v>1.191304347826087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79-4A24-B5C3-85B4F148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988800"/>
        <c:axId val="186990592"/>
      </c:lineChart>
      <c:catAx>
        <c:axId val="18698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990592"/>
        <c:crosses val="autoZero"/>
        <c:auto val="1"/>
        <c:lblAlgn val="ctr"/>
        <c:lblOffset val="100"/>
        <c:noMultiLvlLbl val="1"/>
      </c:catAx>
      <c:valAx>
        <c:axId val="18699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98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90"/>
      <c:hPercent val="100"/>
      <c:rotY val="0"/>
      <c:depthPercent val="100"/>
      <c:rAngAx val="0"/>
      <c:perspective val="0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2.2457081856501981E-2"/>
          <c:y val="0.10423469347181269"/>
          <c:w val="0.61126426218934171"/>
          <c:h val="0.63192282917286302"/>
        </c:manualLayout>
      </c:layout>
      <c:surfaceChart>
        <c:wireframe val="0"/>
        <c:ser>
          <c:idx val="0"/>
          <c:order val="0"/>
          <c:tx>
            <c:strRef>
              <c:f>'Budget-WhatIf'!$C$79</c:f>
              <c:strCache>
                <c:ptCount val="1"/>
                <c:pt idx="0">
                  <c:v>5%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numRef>
              <c:f>'Budget-WhatIf'!$B$80:$B$86</c:f>
              <c:numCache>
                <c:formatCode>0.0%</c:formatCode>
                <c:ptCount val="7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</c:numCache>
            </c:numRef>
          </c:cat>
          <c:val>
            <c:numRef>
              <c:f>'Budget-WhatIf'!$C$80:$C$86</c:f>
              <c:numCache>
                <c:formatCode>#,##0.0000</c:formatCode>
                <c:ptCount val="7"/>
                <c:pt idx="0">
                  <c:v>0.4785082731958763</c:v>
                </c:pt>
                <c:pt idx="1">
                  <c:v>0.46438943560326901</c:v>
                </c:pt>
                <c:pt idx="2">
                  <c:v>0.45073226148505824</c:v>
                </c:pt>
                <c:pt idx="3">
                  <c:v>0.43752048888077189</c:v>
                </c:pt>
                <c:pt idx="4">
                  <c:v>0.42473846760909001</c:v>
                </c:pt>
                <c:pt idx="5">
                  <c:v>0.41237113402061859</c:v>
                </c:pt>
                <c:pt idx="6">
                  <c:v>0.40040398698817337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5A-4FDE-A3C2-32F348347AAE}"/>
            </c:ext>
          </c:extLst>
        </c:ser>
        <c:ser>
          <c:idx val="1"/>
          <c:order val="1"/>
          <c:tx>
            <c:strRef>
              <c:f>'Budget-WhatIf'!$D$79</c:f>
              <c:strCache>
                <c:ptCount val="1"/>
                <c:pt idx="0">
                  <c:v>6%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numRef>
              <c:f>'Budget-WhatIf'!$B$80:$B$86</c:f>
              <c:numCache>
                <c:formatCode>0.0%</c:formatCode>
                <c:ptCount val="7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</c:numCache>
            </c:numRef>
          </c:cat>
          <c:val>
            <c:numRef>
              <c:f>'Budget-WhatIf'!$D$80:$D$86</c:f>
              <c:numCache>
                <c:formatCode>#,##0.0000</c:formatCode>
                <c:ptCount val="7"/>
                <c:pt idx="0">
                  <c:v>0.49280977629690725</c:v>
                </c:pt>
                <c:pt idx="1">
                  <c:v>0.47826895937619973</c:v>
                </c:pt>
                <c:pt idx="2">
                  <c:v>0.46420360398099986</c:v>
                </c:pt>
                <c:pt idx="3">
                  <c:v>0.45059696211853256</c:v>
                </c:pt>
                <c:pt idx="4">
                  <c:v>0.43743291585983529</c:v>
                </c:pt>
                <c:pt idx="5">
                  <c:v>0.42469595133795129</c:v>
                </c:pt>
                <c:pt idx="6">
                  <c:v>0.41237113402061859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5A-4FDE-A3C2-32F348347AAE}"/>
            </c:ext>
          </c:extLst>
        </c:ser>
        <c:ser>
          <c:idx val="2"/>
          <c:order val="2"/>
          <c:tx>
            <c:strRef>
              <c:f>'Budget-WhatIf'!$E$79</c:f>
              <c:strCache>
                <c:ptCount val="1"/>
                <c:pt idx="0">
                  <c:v>7%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numRef>
              <c:f>'Budget-WhatIf'!$B$80:$B$86</c:f>
              <c:numCache>
                <c:formatCode>0.0%</c:formatCode>
                <c:ptCount val="7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</c:numCache>
            </c:numRef>
          </c:cat>
          <c:val>
            <c:numRef>
              <c:f>'Budget-WhatIf'!$E$80:$E$86</c:f>
              <c:numCache>
                <c:formatCode>#,##0.0000</c:formatCode>
                <c:ptCount val="7"/>
                <c:pt idx="0">
                  <c:v>0.50748789614020628</c:v>
                </c:pt>
                <c:pt idx="1">
                  <c:v>0.49251398745945818</c:v>
                </c:pt>
                <c:pt idx="2">
                  <c:v>0.47802970171413278</c:v>
                </c:pt>
                <c:pt idx="3">
                  <c:v>0.46401779207994459</c:v>
                </c:pt>
                <c:pt idx="4">
                  <c:v>0.45046166056259074</c:v>
                </c:pt>
                <c:pt idx="5">
                  <c:v>0.43734533122149211</c:v>
                </c:pt>
                <c:pt idx="6">
                  <c:v>0.42465342470599055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5A-4FDE-A3C2-32F348347AAE}"/>
            </c:ext>
          </c:extLst>
        </c:ser>
        <c:ser>
          <c:idx val="3"/>
          <c:order val="3"/>
          <c:tx>
            <c:strRef>
              <c:f>'Budget-WhatIf'!$F$79</c:f>
              <c:strCache>
                <c:ptCount val="1"/>
                <c:pt idx="0">
                  <c:v>8%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numRef>
              <c:f>'Budget-WhatIf'!$B$80:$B$86</c:f>
              <c:numCache>
                <c:formatCode>0.0%</c:formatCode>
                <c:ptCount val="7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</c:numCache>
            </c:numRef>
          </c:cat>
          <c:val>
            <c:numRef>
              <c:f>'Budget-WhatIf'!$F$80:$F$86</c:f>
              <c:numCache>
                <c:formatCode>#,##0.0000</c:formatCode>
                <c:ptCount val="7"/>
                <c:pt idx="0">
                  <c:v>0.52255084839587629</c:v>
                </c:pt>
                <c:pt idx="1">
                  <c:v>0.50713249311205788</c:v>
                </c:pt>
                <c:pt idx="2">
                  <c:v>0.49221829345883683</c:v>
                </c:pt>
                <c:pt idx="3">
                  <c:v>0.47779049070200325</c:v>
                </c:pt>
                <c:pt idx="4">
                  <c:v>0.46383199419551258</c:v>
                </c:pt>
                <c:pt idx="5">
                  <c:v>0.45032635381047131</c:v>
                </c:pt>
                <c:pt idx="6">
                  <c:v>0.43725773371553173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5A-4FDE-A3C2-32F348347AAE}"/>
            </c:ext>
          </c:extLst>
        </c:ser>
        <c:ser>
          <c:idx val="4"/>
          <c:order val="4"/>
          <c:tx>
            <c:strRef>
              <c:f>'Budget-WhatIf'!$G$79</c:f>
              <c:strCache>
                <c:ptCount val="1"/>
                <c:pt idx="0">
                  <c:v>9%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numRef>
              <c:f>'Budget-WhatIf'!$B$80:$B$86</c:f>
              <c:numCache>
                <c:formatCode>0.0%</c:formatCode>
                <c:ptCount val="7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</c:numCache>
            </c:numRef>
          </c:cat>
          <c:val>
            <c:numRef>
              <c:f>'Budget-WhatIf'!$G$80:$G$86</c:f>
              <c:numCache>
                <c:formatCode>#,##0.0000</c:formatCode>
                <c:ptCount val="7"/>
                <c:pt idx="0">
                  <c:v>0.53800697442474232</c:v>
                </c:pt>
                <c:pt idx="1">
                  <c:v>0.52213257157511062</c:v>
                </c:pt>
                <c:pt idx="2">
                  <c:v>0.50677723638423344</c:v>
                </c:pt>
                <c:pt idx="3">
                  <c:v>0.49192268484608254</c:v>
                </c:pt>
                <c:pt idx="4">
                  <c:v>0.4775513208036572</c:v>
                </c:pt>
                <c:pt idx="5">
                  <c:v>0.46364620756246699</c:v>
                </c:pt>
                <c:pt idx="6">
                  <c:v>0.45019104089539808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5A-4FDE-A3C2-32F348347AAE}"/>
            </c:ext>
          </c:extLst>
        </c:ser>
        <c:ser>
          <c:idx val="5"/>
          <c:order val="5"/>
          <c:tx>
            <c:strRef>
              <c:f>'Budget-WhatIf'!$H$79</c:f>
              <c:strCache>
                <c:ptCount val="1"/>
                <c:pt idx="0">
                  <c:v>10%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  <a:sp3d prstMaterial="flat"/>
          </c:spPr>
          <c:cat>
            <c:numRef>
              <c:f>'Budget-WhatIf'!$B$80:$B$86</c:f>
              <c:numCache>
                <c:formatCode>0.0%</c:formatCode>
                <c:ptCount val="7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</c:numCache>
            </c:numRef>
          </c:cat>
          <c:val>
            <c:numRef>
              <c:f>'Budget-WhatIf'!$H$80:$H$86</c:f>
              <c:numCache>
                <c:formatCode>#,##0.0000</c:formatCode>
                <c:ptCount val="7"/>
                <c:pt idx="0">
                  <c:v>0.55386474226804139</c:v>
                </c:pt>
                <c:pt idx="1">
                  <c:v>0.53752244103231617</c:v>
                </c:pt>
                <c:pt idx="2">
                  <c:v>0.52171450698642718</c:v>
                </c:pt>
                <c:pt idx="3">
                  <c:v>0.50642211720285157</c:v>
                </c:pt>
                <c:pt idx="4">
                  <c:v>0.49162715687745984</c:v>
                </c:pt>
                <c:pt idx="5">
                  <c:v>0.47731219010630505</c:v>
                </c:pt>
                <c:pt idx="6">
                  <c:v>0.46346043209480708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5A-4FDE-A3C2-32F348347AAE}"/>
            </c:ext>
          </c:extLst>
        </c:ser>
        <c:bandFmts>
          <c:bandFm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1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2"/>
            <c:spPr>
              <a:solidFill>
                <a:srgbClr val="FFFF99"/>
              </a:solidFill>
              <a:ln w="12700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3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4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5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6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sp3d prstMaterial="flat"/>
            </c:spPr>
          </c:bandFmt>
          <c:bandFmt>
            <c:idx val="7"/>
            <c:spPr>
              <a:solidFill>
                <a:srgbClr val="800000"/>
              </a:solidFill>
              <a:ln w="12700">
                <a:solidFill>
                  <a:srgbClr val="000000"/>
                </a:solidFill>
                <a:prstDash val="solid"/>
              </a:ln>
              <a:sp3d prstMaterial="flat"/>
            </c:spPr>
          </c:bandFmt>
        </c:bandFmts>
        <c:axId val="199386240"/>
        <c:axId val="199388160"/>
        <c:axId val="199368704"/>
      </c:surfaceChart>
      <c:catAx>
        <c:axId val="199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Revenue Growth</a:t>
                </a:r>
              </a:p>
            </c:rich>
          </c:tx>
          <c:layout>
            <c:manualLayout>
              <c:xMode val="edge"/>
              <c:yMode val="edge"/>
              <c:x val="0.2459694881889766"/>
              <c:y val="0.92193695657749664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388160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199388160"/>
        <c:scaling>
          <c:orientation val="minMax"/>
          <c:min val="0.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00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99386240"/>
        <c:crosses val="autoZero"/>
        <c:crossBetween val="midCat"/>
        <c:majorUnit val="2.0000000000000011E-2"/>
      </c:valAx>
      <c:serAx>
        <c:axId val="199368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Expense Growth</a:t>
                </a:r>
              </a:p>
            </c:rich>
          </c:tx>
          <c:layout>
            <c:manualLayout>
              <c:xMode val="edge"/>
              <c:yMode val="edge"/>
              <c:x val="0.54758120078740158"/>
              <c:y val="0.37785084682004366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388160"/>
        <c:crosses val="autoZero"/>
        <c:tickLblSkip val="1"/>
        <c:tickMarkSkip val="1"/>
      </c:ser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 rtl="0">
              <a:defRPr sz="101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 rtl="0">
              <a:defRPr sz="101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741088418635178"/>
          <c:y val="0.17915343643933776"/>
          <c:w val="0.21532384623796919"/>
          <c:h val="0.6286655210443973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10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Tax Rate Needed to Balance Over 5 Years</a:t>
            </a:r>
          </a:p>
        </c:rich>
      </c:tx>
      <c:layout>
        <c:manualLayout>
          <c:xMode val="edge"/>
          <c:yMode val="edge"/>
          <c:x val="0.19029126213592248"/>
          <c:y val="3.81944444444444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029126213592254"/>
          <c:y val="0.23263967773328217"/>
          <c:w val="0.74757281553398136"/>
          <c:h val="0.52083509940287065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FF00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'Budget-WhatIf'!$B$59:$B$65</c:f>
              <c:numCache>
                <c:formatCode>0.0%</c:formatCode>
                <c:ptCount val="7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</c:numCache>
            </c:numRef>
          </c:xVal>
          <c:yVal>
            <c:numRef>
              <c:f>'Budget-WhatIf'!$C$59:$C$65</c:f>
              <c:numCache>
                <c:formatCode>_("$"* #,##0.0000_);_("$"* \(#,##0.0000\);_("$"* "-"??_);_(@_)</c:formatCode>
                <c:ptCount val="7"/>
                <c:pt idx="0">
                  <c:v>0.4785082731958763</c:v>
                </c:pt>
                <c:pt idx="1">
                  <c:v>0.46438943560326901</c:v>
                </c:pt>
                <c:pt idx="2">
                  <c:v>0.45073226148505824</c:v>
                </c:pt>
                <c:pt idx="3">
                  <c:v>0.43752048888077189</c:v>
                </c:pt>
                <c:pt idx="4">
                  <c:v>0.42473846760909001</c:v>
                </c:pt>
                <c:pt idx="5">
                  <c:v>0.41237113402061859</c:v>
                </c:pt>
                <c:pt idx="6">
                  <c:v>0.40040398698817337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EBA-4A82-9219-671221631D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447680"/>
        <c:axId val="199449984"/>
      </c:scatterChart>
      <c:valAx>
        <c:axId val="1994476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Revenue Growth Rate</a:t>
                </a:r>
              </a:p>
            </c:rich>
          </c:tx>
          <c:layout>
            <c:manualLayout>
              <c:xMode val="edge"/>
              <c:yMode val="edge"/>
              <c:x val="0.40970873786407797"/>
              <c:y val="0.86458624963546227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449984"/>
        <c:crosses val="autoZero"/>
        <c:crossBetween val="midCat"/>
      </c:valAx>
      <c:valAx>
        <c:axId val="199449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Tax Rate</a:t>
                </a:r>
              </a:p>
            </c:rich>
          </c:tx>
          <c:layout>
            <c:manualLayout>
              <c:xMode val="edge"/>
              <c:yMode val="edge"/>
              <c:x val="3.1067961165048542E-2"/>
              <c:y val="0.38194590259550892"/>
            </c:manualLayout>
          </c:layout>
          <c:overlay val="0"/>
          <c:spPr>
            <a:noFill/>
            <a:ln w="25400">
              <a:noFill/>
            </a:ln>
          </c:spPr>
        </c:title>
        <c:numFmt formatCode="_(\$* #,##0.00_);_(\$* \(#,##0.00\);_(\$* &quot;-&quot;??_);_(@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447680"/>
        <c:crosses val="autoZero"/>
        <c:crossBetween val="midCat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Fires per 1,000 Population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 in FY 05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'Fire Rates'!$C$2</c:f>
              <c:strCache>
                <c:ptCount val="1"/>
                <c:pt idx="0">
                  <c:v>Fires per 1,000 Population
 in FY 2005</c:v>
                </c:pt>
              </c:strCache>
            </c:strRef>
          </c:tx>
          <c:invertIfNegative val="0"/>
          <c:cat>
            <c:strRef>
              <c:f>'Fire Rates'!$B$3:$B$18</c:f>
              <c:strCache>
                <c:ptCount val="16"/>
                <c:pt idx="0">
                  <c:v>Asheville</c:v>
                </c:pt>
                <c:pt idx="1">
                  <c:v>Carrboro</c:v>
                </c:pt>
                <c:pt idx="2">
                  <c:v>Cary</c:v>
                </c:pt>
                <c:pt idx="3">
                  <c:v>Charlotte</c:v>
                </c:pt>
                <c:pt idx="4">
                  <c:v>Concord</c:v>
                </c:pt>
                <c:pt idx="5">
                  <c:v>Durham</c:v>
                </c:pt>
                <c:pt idx="6">
                  <c:v>Gastonia</c:v>
                </c:pt>
                <c:pt idx="7">
                  <c:v>Greensboro</c:v>
                </c:pt>
                <c:pt idx="8">
                  <c:v>Hickory</c:v>
                </c:pt>
                <c:pt idx="9">
                  <c:v>High Point</c:v>
                </c:pt>
                <c:pt idx="10">
                  <c:v>Matthews</c:v>
                </c:pt>
                <c:pt idx="11">
                  <c:v>Raleigh</c:v>
                </c:pt>
                <c:pt idx="12">
                  <c:v>Salisbury</c:v>
                </c:pt>
                <c:pt idx="13">
                  <c:v>Wilmington</c:v>
                </c:pt>
                <c:pt idx="14">
                  <c:v>Wilson</c:v>
                </c:pt>
                <c:pt idx="15">
                  <c:v>Winston-Salem</c:v>
                </c:pt>
              </c:strCache>
            </c:strRef>
          </c:cat>
          <c:val>
            <c:numRef>
              <c:f>'Fire Rates'!$C$3:$C$18</c:f>
              <c:numCache>
                <c:formatCode>0.00</c:formatCode>
                <c:ptCount val="16"/>
                <c:pt idx="0">
                  <c:v>6.91</c:v>
                </c:pt>
                <c:pt idx="1">
                  <c:v>3.32</c:v>
                </c:pt>
                <c:pt idx="2">
                  <c:v>2.37</c:v>
                </c:pt>
                <c:pt idx="3">
                  <c:v>3.99</c:v>
                </c:pt>
                <c:pt idx="4">
                  <c:v>4.75</c:v>
                </c:pt>
                <c:pt idx="5">
                  <c:v>4.72</c:v>
                </c:pt>
                <c:pt idx="6">
                  <c:v>6.47</c:v>
                </c:pt>
                <c:pt idx="7">
                  <c:v>4.84</c:v>
                </c:pt>
                <c:pt idx="8">
                  <c:v>4.5</c:v>
                </c:pt>
                <c:pt idx="9">
                  <c:v>5.79</c:v>
                </c:pt>
                <c:pt idx="10">
                  <c:v>4.9400000000000004</c:v>
                </c:pt>
                <c:pt idx="11">
                  <c:v>3.84</c:v>
                </c:pt>
                <c:pt idx="12">
                  <c:v>6.02</c:v>
                </c:pt>
                <c:pt idx="13">
                  <c:v>6.47</c:v>
                </c:pt>
                <c:pt idx="14">
                  <c:v>5.78</c:v>
                </c:pt>
                <c:pt idx="15">
                  <c:v>4.93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6C-453A-BF3F-48AFADD2B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7062528"/>
        <c:axId val="187064320"/>
      </c:barChart>
      <c:catAx>
        <c:axId val="18706252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7064320"/>
        <c:crosses val="autoZero"/>
        <c:auto val="1"/>
        <c:lblAlgn val="ctr"/>
        <c:lblOffset val="100"/>
        <c:noMultiLvlLbl val="0"/>
      </c:catAx>
      <c:valAx>
        <c:axId val="187064320"/>
        <c:scaling>
          <c:orientation val="minMax"/>
          <c:max val="7"/>
          <c:min val="0"/>
        </c:scaling>
        <c:delete val="0"/>
        <c:axPos val="t"/>
        <c:majorGridlines>
          <c:spPr>
            <a:ln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prstDash val="sysDot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7062528"/>
        <c:crosses val="autoZero"/>
        <c:crossBetween val="between"/>
        <c:majorUnit val="1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Fires per 1,000 Population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 in FY 05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'Fire Rates'!$M$2</c:f>
              <c:strCache>
                <c:ptCount val="1"/>
                <c:pt idx="0">
                  <c:v>Fires per 1,000 Population in FY 05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'Fire Rates'!$L$3:$L$18</c:f>
              <c:strCache>
                <c:ptCount val="16"/>
                <c:pt idx="0">
                  <c:v>Asheville</c:v>
                </c:pt>
                <c:pt idx="1">
                  <c:v>Gastonia</c:v>
                </c:pt>
                <c:pt idx="2">
                  <c:v>Wilmington</c:v>
                </c:pt>
                <c:pt idx="3">
                  <c:v>Salisbury</c:v>
                </c:pt>
                <c:pt idx="4">
                  <c:v>High Point</c:v>
                </c:pt>
                <c:pt idx="5">
                  <c:v>Wilson</c:v>
                </c:pt>
                <c:pt idx="6">
                  <c:v>Matthews</c:v>
                </c:pt>
                <c:pt idx="7">
                  <c:v>Winston-Salem</c:v>
                </c:pt>
                <c:pt idx="8">
                  <c:v>Greensboro</c:v>
                </c:pt>
                <c:pt idx="9">
                  <c:v>Concord</c:v>
                </c:pt>
                <c:pt idx="10">
                  <c:v>Durham</c:v>
                </c:pt>
                <c:pt idx="11">
                  <c:v>Hickory</c:v>
                </c:pt>
                <c:pt idx="12">
                  <c:v>Charlotte</c:v>
                </c:pt>
                <c:pt idx="13">
                  <c:v>Raleigh</c:v>
                </c:pt>
                <c:pt idx="14">
                  <c:v>Carrboro</c:v>
                </c:pt>
                <c:pt idx="15">
                  <c:v>Cary</c:v>
                </c:pt>
              </c:strCache>
            </c:strRef>
          </c:cat>
          <c:val>
            <c:numRef>
              <c:f>'Fire Rates'!$M$3:$M$18</c:f>
              <c:numCache>
                <c:formatCode>General</c:formatCode>
                <c:ptCount val="16"/>
                <c:pt idx="0">
                  <c:v>6.91</c:v>
                </c:pt>
                <c:pt idx="1">
                  <c:v>6.47</c:v>
                </c:pt>
                <c:pt idx="2">
                  <c:v>6.47</c:v>
                </c:pt>
                <c:pt idx="3">
                  <c:v>6.02</c:v>
                </c:pt>
                <c:pt idx="4">
                  <c:v>5.79</c:v>
                </c:pt>
                <c:pt idx="5">
                  <c:v>5.78</c:v>
                </c:pt>
                <c:pt idx="6">
                  <c:v>4.9400000000000004</c:v>
                </c:pt>
                <c:pt idx="7">
                  <c:v>4.93</c:v>
                </c:pt>
                <c:pt idx="8">
                  <c:v>4.84</c:v>
                </c:pt>
                <c:pt idx="9">
                  <c:v>4.75</c:v>
                </c:pt>
                <c:pt idx="10">
                  <c:v>4.72</c:v>
                </c:pt>
                <c:pt idx="11">
                  <c:v>4.5</c:v>
                </c:pt>
                <c:pt idx="12">
                  <c:v>3.99</c:v>
                </c:pt>
                <c:pt idx="13">
                  <c:v>3.84</c:v>
                </c:pt>
                <c:pt idx="14">
                  <c:v>3.32</c:v>
                </c:pt>
                <c:pt idx="15">
                  <c:v>2.37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3-46A3-BAA0-4D05791A38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7101184"/>
        <c:axId val="187102720"/>
      </c:barChart>
      <c:catAx>
        <c:axId val="1871011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7102720"/>
        <c:crosses val="autoZero"/>
        <c:auto val="1"/>
        <c:lblAlgn val="ctr"/>
        <c:lblOffset val="100"/>
        <c:noMultiLvlLbl val="0"/>
      </c:catAx>
      <c:valAx>
        <c:axId val="187102720"/>
        <c:scaling>
          <c:orientation val="minMax"/>
          <c:max val="7"/>
          <c:min val="0"/>
        </c:scaling>
        <c:delete val="0"/>
        <c:axPos val="t"/>
        <c:majorGridlines>
          <c:spPr>
            <a:ln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7101184"/>
        <c:crosses val="autoZero"/>
        <c:crossBetween val="between"/>
        <c:majorUnit val="1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Fires per 1,000 Population in FY 05 Compared to Median Age of Housing </a:t>
            </a:r>
          </a:p>
        </c:rich>
      </c:tx>
      <c:overlay val="0"/>
    </c:title>
    <c:autoTitleDeleted val="0"/>
    <c:plotArea>
      <c:layout/>
      <c:scatterChart>
        <c:scatterStyle val="lineMarker"/>
        <c:varyColors val="1"/>
        <c:ser>
          <c:idx val="0"/>
          <c:order val="0"/>
          <c:tx>
            <c:strRef>
              <c:f>Scatterplot!$D$2</c:f>
              <c:strCache>
                <c:ptCount val="1"/>
                <c:pt idx="0">
                  <c:v>Fires per 1,000 Population
 in FY 05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9"/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dLbls>
            <c:dLbl>
              <c:idx val="0"/>
              <c:tx>
                <c:strRef>
                  <c:f>Scatterplot!$B$3</c:f>
                  <c:strCache>
                    <c:ptCount val="1"/>
                    <c:pt idx="0">
                      <c:v>Asheville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{3D82608D-9722-4ADD-9AEF-60E74BD0F933}</c15:txfldGUID>
                      <c15:f>Scatterplot!$B$3</c15:f>
                      <c15:dlblFieldTableCache>
                        <c:ptCount val="1"/>
                        <c:pt idx="0">
                          <c:v>Asheville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82EF-43EA-9696-06076D67A32F}"/>
                </c:ext>
              </c:extLst>
            </c:dLbl>
            <c:dLbl>
              <c:idx val="1"/>
              <c:layout>
                <c:manualLayout>
                  <c:x val="0"/>
                  <c:y val="8.1204977079240348E-2"/>
                </c:manualLayout>
              </c:layout>
              <c:tx>
                <c:strRef>
                  <c:f>Scatterplot!$B$4</c:f>
                  <c:strCache>
                    <c:ptCount val="1"/>
                    <c:pt idx="0">
                      <c:v>Carrboro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{B4D20018-4057-4530-8F04-9BC1CD8DBF95}</c15:txfldGUID>
                      <c15:f>Scatterplot!$B$4</c15:f>
                      <c15:dlblFieldTableCache>
                        <c:ptCount val="1"/>
                        <c:pt idx="0">
                          <c:v>Carrboro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82EF-43EA-9696-06076D67A32F}"/>
                </c:ext>
              </c:extLst>
            </c:dLbl>
            <c:dLbl>
              <c:idx val="2"/>
              <c:tx>
                <c:strRef>
                  <c:f>Scatterplot!$B$5</c:f>
                  <c:strCache>
                    <c:ptCount val="1"/>
                    <c:pt idx="0">
                      <c:v>Cary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{CC57BFAD-E8C6-4256-9F5A-EF6D479D3650}</c15:txfldGUID>
                      <c15:f>Scatterplot!$B$5</c15:f>
                      <c15:dlblFieldTableCache>
                        <c:ptCount val="1"/>
                        <c:pt idx="0">
                          <c:v>Cary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82EF-43EA-9696-06076D67A32F}"/>
                </c:ext>
              </c:extLst>
            </c:dLbl>
            <c:dLbl>
              <c:idx val="3"/>
              <c:layout>
                <c:manualLayout>
                  <c:x val="-2.9717682020802376E-2"/>
                  <c:y val="6.2868369351669937E-2"/>
                </c:manualLayout>
              </c:layout>
              <c:tx>
                <c:strRef>
                  <c:f>Scatterplot!$B$6</c:f>
                  <c:strCache>
                    <c:ptCount val="1"/>
                    <c:pt idx="0">
                      <c:v>Charlotte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{9E0FD788-2C63-45F4-9CD0-52AD83C55A3D}</c15:txfldGUID>
                      <c15:f>Scatterplot!$B$6</c15:f>
                      <c15:dlblFieldTableCache>
                        <c:ptCount val="1"/>
                        <c:pt idx="0">
                          <c:v>Charlotte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82EF-43EA-9696-06076D67A32F}"/>
                </c:ext>
              </c:extLst>
            </c:dLbl>
            <c:dLbl>
              <c:idx val="4"/>
              <c:tx>
                <c:strRef>
                  <c:f>Scatterplot!$B$7</c:f>
                  <c:strCache>
                    <c:ptCount val="1"/>
                    <c:pt idx="0">
                      <c:v>Concord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{F6F8EAE8-E26A-435E-B7C8-F8176A7D65EC}</c15:txfldGUID>
                      <c15:f>Scatterplot!$B$7</c15:f>
                      <c15:dlblFieldTableCache>
                        <c:ptCount val="1"/>
                        <c:pt idx="0">
                          <c:v>Concord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82EF-43EA-9696-06076D67A32F}"/>
                </c:ext>
              </c:extLst>
            </c:dLbl>
            <c:dLbl>
              <c:idx val="5"/>
              <c:layout>
                <c:manualLayout>
                  <c:x val="0"/>
                  <c:y val="7.8585461689586952E-3"/>
                </c:manualLayout>
              </c:layout>
              <c:tx>
                <c:strRef>
                  <c:f>Scatterplot!$B$8</c:f>
                  <c:strCache>
                    <c:ptCount val="1"/>
                    <c:pt idx="0">
                      <c:v>Durham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{F0E28AB8-9F3D-4102-B565-8C8E97EBF97A}</c15:txfldGUID>
                      <c15:f>Scatterplot!$B$8</c15:f>
                      <c15:dlblFieldTableCache>
                        <c:ptCount val="1"/>
                        <c:pt idx="0">
                          <c:v>Durham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82EF-43EA-9696-06076D67A32F}"/>
                </c:ext>
              </c:extLst>
            </c:dLbl>
            <c:dLbl>
              <c:idx val="6"/>
              <c:tx>
                <c:strRef>
                  <c:f>Scatterplot!$B$9</c:f>
                  <c:strCache>
                    <c:ptCount val="1"/>
                    <c:pt idx="0">
                      <c:v>Gastonia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{3F6EE776-C64D-4633-B00E-7296D7FCF22C}</c15:txfldGUID>
                      <c15:f>Scatterplot!$B$9</c15:f>
                      <c15:dlblFieldTableCache>
                        <c:ptCount val="1"/>
                        <c:pt idx="0">
                          <c:v>Gastonia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82EF-43EA-9696-06076D67A32F}"/>
                </c:ext>
              </c:extLst>
            </c:dLbl>
            <c:dLbl>
              <c:idx val="7"/>
              <c:tx>
                <c:strRef>
                  <c:f>Scatterplot!$B$10</c:f>
                  <c:strCache>
                    <c:ptCount val="1"/>
                    <c:pt idx="0">
                      <c:v>Greensboro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{35CD9F5A-A219-4073-B2C4-37E03495643A}</c15:txfldGUID>
                      <c15:f>Scatterplot!$B$10</c15:f>
                      <c15:dlblFieldTableCache>
                        <c:ptCount val="1"/>
                        <c:pt idx="0">
                          <c:v>Greensboro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82EF-43EA-9696-06076D67A32F}"/>
                </c:ext>
              </c:extLst>
            </c:dLbl>
            <c:dLbl>
              <c:idx val="8"/>
              <c:layout>
                <c:manualLayout>
                  <c:x val="-2.9717682020802376E-2"/>
                  <c:y val="6.5487884741322874E-2"/>
                </c:manualLayout>
              </c:layout>
              <c:tx>
                <c:strRef>
                  <c:f>Scatterplot!$B$11</c:f>
                  <c:strCache>
                    <c:ptCount val="1"/>
                    <c:pt idx="0">
                      <c:v>Hickory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{6D9D8CA3-EE4F-4690-BA12-AADB3B4C92B9}</c15:txfldGUID>
                      <c15:f>Scatterplot!$B$11</c15:f>
                      <c15:dlblFieldTableCache>
                        <c:ptCount val="1"/>
                        <c:pt idx="0">
                          <c:v>Hickory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82EF-43EA-9696-06076D67A32F}"/>
                </c:ext>
              </c:extLst>
            </c:dLbl>
            <c:dLbl>
              <c:idx val="9"/>
              <c:layout>
                <c:manualLayout>
                  <c:x val="-4.7548291233283864E-2"/>
                  <c:y val="3.4053700065487885E-2"/>
                </c:manualLayout>
              </c:layout>
              <c:tx>
                <c:strRef>
                  <c:f>Scatterplot!$B$12</c:f>
                  <c:strCache>
                    <c:ptCount val="1"/>
                    <c:pt idx="0">
                      <c:v>High Point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{2DA31313-5715-47F4-AC0E-E25082CE4A44}</c15:txfldGUID>
                      <c15:f>Scatterplot!$B$12</c15:f>
                      <c15:dlblFieldTableCache>
                        <c:ptCount val="1"/>
                        <c:pt idx="0">
                          <c:v>High Point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82EF-43EA-9696-06076D67A32F}"/>
                </c:ext>
              </c:extLst>
            </c:dLbl>
            <c:dLbl>
              <c:idx val="10"/>
              <c:tx>
                <c:strRef>
                  <c:f>Scatterplot!$B$13</c:f>
                  <c:strCache>
                    <c:ptCount val="1"/>
                    <c:pt idx="0">
                      <c:v>Matthews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{535FC5EF-3717-40C7-97F2-06B36E02E5DB}</c15:txfldGUID>
                      <c15:f>Scatterplot!$B$13</c15:f>
                      <c15:dlblFieldTableCache>
                        <c:ptCount val="1"/>
                        <c:pt idx="0">
                          <c:v>Matthews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82EF-43EA-9696-06076D67A32F}"/>
                </c:ext>
              </c:extLst>
            </c:dLbl>
            <c:dLbl>
              <c:idx val="11"/>
              <c:layout>
                <c:manualLayout>
                  <c:x val="4.7548291233283864E-2"/>
                  <c:y val="3.1434184675834982E-2"/>
                </c:manualLayout>
              </c:layout>
              <c:tx>
                <c:strRef>
                  <c:f>Scatterplot!$B$14</c:f>
                  <c:strCache>
                    <c:ptCount val="1"/>
                    <c:pt idx="0">
                      <c:v>Raleigh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{BCEBFE2B-E788-46F5-8A99-8EAABA7A768D}</c15:txfldGUID>
                      <c15:f>Scatterplot!$B$14</c15:f>
                      <c15:dlblFieldTableCache>
                        <c:ptCount val="1"/>
                        <c:pt idx="0">
                          <c:v>Raleigh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82EF-43EA-9696-06076D67A32F}"/>
                </c:ext>
              </c:extLst>
            </c:dLbl>
            <c:dLbl>
              <c:idx val="12"/>
              <c:tx>
                <c:strRef>
                  <c:f>Scatterplot!$B$15</c:f>
                  <c:strCache>
                    <c:ptCount val="1"/>
                    <c:pt idx="0">
                      <c:v>Salisbury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{B383A836-D301-42C0-8516-3E5CE8219612}</c15:txfldGUID>
                      <c15:f>Scatterplot!$B$15</c15:f>
                      <c15:dlblFieldTableCache>
                        <c:ptCount val="1"/>
                        <c:pt idx="0">
                          <c:v>Salisbury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82EF-43EA-9696-06076D67A32F}"/>
                </c:ext>
              </c:extLst>
            </c:dLbl>
            <c:dLbl>
              <c:idx val="13"/>
              <c:tx>
                <c:strRef>
                  <c:f>Scatterplot!$B$16</c:f>
                  <c:strCache>
                    <c:ptCount val="1"/>
                    <c:pt idx="0">
                      <c:v>Wilmington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{B392BD67-F649-4F2E-96DB-2390A9C7D490}</c15:txfldGUID>
                      <c15:f>Scatterplot!$B$16</c15:f>
                      <c15:dlblFieldTableCache>
                        <c:ptCount val="1"/>
                        <c:pt idx="0">
                          <c:v>Wilmington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82EF-43EA-9696-06076D67A32F}"/>
                </c:ext>
              </c:extLst>
            </c:dLbl>
            <c:dLbl>
              <c:idx val="14"/>
              <c:layout>
                <c:manualLayout>
                  <c:x val="3.7642397226349759E-2"/>
                  <c:y val="2.3575638506876252E-2"/>
                </c:manualLayout>
              </c:layout>
              <c:tx>
                <c:strRef>
                  <c:f>Scatterplot!$B$17</c:f>
                  <c:strCache>
                    <c:ptCount val="1"/>
                    <c:pt idx="0">
                      <c:v>Wilson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{90876D85-13BB-4F98-88AD-4224985EAAEF}</c15:txfldGUID>
                      <c15:f>Scatterplot!$B$17</c15:f>
                      <c15:dlblFieldTableCache>
                        <c:ptCount val="1"/>
                        <c:pt idx="0">
                          <c:v>Wilson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82EF-43EA-9696-06076D67A32F}"/>
                </c:ext>
              </c:extLst>
            </c:dLbl>
            <c:dLbl>
              <c:idx val="15"/>
              <c:layout>
                <c:manualLayout>
                  <c:x val="-5.3491827637444332E-2"/>
                  <c:y val="6.8107400130975784E-2"/>
                </c:manualLayout>
              </c:layout>
              <c:tx>
                <c:strRef>
                  <c:f>Scatterplot!$B$18</c:f>
                  <c:strCache>
                    <c:ptCount val="1"/>
                    <c:pt idx="0">
                      <c:v>Winston-Salem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80808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{A8077B04-6ADA-4F13-B037-31E99D8D1D42}</c15:txfldGUID>
                      <c15:f>Scatterplot!$B$18</c15:f>
                      <c15:dlblFieldTableCache>
                        <c:ptCount val="1"/>
                        <c:pt idx="0">
                          <c:v>Winston-Salem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82EF-43EA-9696-06076D67A32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Scatterplot!$C$3:$C$18</c:f>
              <c:numCache>
                <c:formatCode>General</c:formatCode>
                <c:ptCount val="16"/>
                <c:pt idx="0">
                  <c:v>1962</c:v>
                </c:pt>
                <c:pt idx="1">
                  <c:v>1982</c:v>
                </c:pt>
                <c:pt idx="2">
                  <c:v>1991</c:v>
                </c:pt>
                <c:pt idx="3">
                  <c:v>1979</c:v>
                </c:pt>
                <c:pt idx="4">
                  <c:v>1981</c:v>
                </c:pt>
                <c:pt idx="5">
                  <c:v>1977</c:v>
                </c:pt>
                <c:pt idx="6">
                  <c:v>1970</c:v>
                </c:pt>
                <c:pt idx="7">
                  <c:v>1974</c:v>
                </c:pt>
                <c:pt idx="8">
                  <c:v>1974</c:v>
                </c:pt>
                <c:pt idx="9">
                  <c:v>1973</c:v>
                </c:pt>
                <c:pt idx="10">
                  <c:v>1987</c:v>
                </c:pt>
                <c:pt idx="11">
                  <c:v>1981</c:v>
                </c:pt>
                <c:pt idx="12">
                  <c:v>1963</c:v>
                </c:pt>
                <c:pt idx="13">
                  <c:v>1974</c:v>
                </c:pt>
                <c:pt idx="14">
                  <c:v>1973</c:v>
                </c:pt>
                <c:pt idx="15">
                  <c:v>1969</c:v>
                </c:pt>
              </c:numCache>
            </c:numRef>
          </c:xVal>
          <c:yVal>
            <c:numRef>
              <c:f>Scatterplot!$D$3:$D$18</c:f>
              <c:numCache>
                <c:formatCode>General</c:formatCode>
                <c:ptCount val="16"/>
                <c:pt idx="0">
                  <c:v>6.91</c:v>
                </c:pt>
                <c:pt idx="1">
                  <c:v>3.32</c:v>
                </c:pt>
                <c:pt idx="2">
                  <c:v>2.37</c:v>
                </c:pt>
                <c:pt idx="3">
                  <c:v>3.99</c:v>
                </c:pt>
                <c:pt idx="4">
                  <c:v>4.75</c:v>
                </c:pt>
                <c:pt idx="5">
                  <c:v>4.72</c:v>
                </c:pt>
                <c:pt idx="6">
                  <c:v>6.47</c:v>
                </c:pt>
                <c:pt idx="7">
                  <c:v>4.84</c:v>
                </c:pt>
                <c:pt idx="8">
                  <c:v>4.5</c:v>
                </c:pt>
                <c:pt idx="9">
                  <c:v>5.79</c:v>
                </c:pt>
                <c:pt idx="10">
                  <c:v>4.9400000000000004</c:v>
                </c:pt>
                <c:pt idx="11">
                  <c:v>3.84</c:v>
                </c:pt>
                <c:pt idx="12">
                  <c:v>6.02</c:v>
                </c:pt>
                <c:pt idx="13">
                  <c:v>6.47</c:v>
                </c:pt>
                <c:pt idx="14">
                  <c:v>5.78</c:v>
                </c:pt>
                <c:pt idx="15">
                  <c:v>4.93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82EF-43EA-9696-06076D67A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172352"/>
        <c:axId val="187174272"/>
      </c:scatterChart>
      <c:valAx>
        <c:axId val="187172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Median Year Housing Built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7174272"/>
        <c:crosses val="autoZero"/>
        <c:crossBetween val="midCat"/>
      </c:valAx>
      <c:valAx>
        <c:axId val="18717427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Fires per 1,000 Pop.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7172352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Fires per 1,000 Population in FY 05 Compared to Median Age of Housing </a:t>
            </a:r>
          </a:p>
        </c:rich>
      </c:tx>
      <c:overlay val="0"/>
    </c:title>
    <c:autoTitleDeleted val="0"/>
    <c:plotArea>
      <c:layout/>
      <c:scatterChart>
        <c:scatterStyle val="lineMarker"/>
        <c:varyColors val="1"/>
        <c:ser>
          <c:idx val="0"/>
          <c:order val="0"/>
          <c:tx>
            <c:strRef>
              <c:f>'Scatterplot (2)'!$D$2</c:f>
              <c:strCache>
                <c:ptCount val="1"/>
                <c:pt idx="0">
                  <c:v>Fires per 1,000 Population
 in FY 05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9"/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dLbls>
            <c:dLbl>
              <c:idx val="0"/>
              <c:tx>
                <c:strRef>
                  <c:f>Scatterplot!$B$3</c:f>
                  <c:strCache>
                    <c:ptCount val="1"/>
                    <c:pt idx="0">
                      <c:v>Asheville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{8707C6F8-4B6E-4B9D-A2F0-02D77266996A}</c15:txfldGUID>
                      <c15:f>Scatterplot!$B$3</c15:f>
                      <c15:dlblFieldTableCache>
                        <c:ptCount val="1"/>
                        <c:pt idx="0">
                          <c:v>Asheville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F776-494B-8924-421BA82E7D87}"/>
                </c:ext>
              </c:extLst>
            </c:dLbl>
            <c:dLbl>
              <c:idx val="1"/>
              <c:layout>
                <c:manualLayout>
                  <c:x val="0"/>
                  <c:y val="8.1204977079240348E-2"/>
                </c:manualLayout>
              </c:layout>
              <c:tx>
                <c:strRef>
                  <c:f>Scatterplot!$B$4</c:f>
                  <c:strCache>
                    <c:ptCount val="1"/>
                    <c:pt idx="0">
                      <c:v>Carrboro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{03934D00-770A-44C4-AD96-B8162E7663ED}</c15:txfldGUID>
                      <c15:f>Scatterplot!$B$4</c15:f>
                      <c15:dlblFieldTableCache>
                        <c:ptCount val="1"/>
                        <c:pt idx="0">
                          <c:v>Carrboro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F776-494B-8924-421BA82E7D87}"/>
                </c:ext>
              </c:extLst>
            </c:dLbl>
            <c:dLbl>
              <c:idx val="2"/>
              <c:tx>
                <c:strRef>
                  <c:f>Scatterplot!$B$5</c:f>
                  <c:strCache>
                    <c:ptCount val="1"/>
                    <c:pt idx="0">
                      <c:v>Cary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{BE857BDD-BFE1-4245-9108-C50F2E4D5B59}</c15:txfldGUID>
                      <c15:f>Scatterplot!$B$5</c15:f>
                      <c15:dlblFieldTableCache>
                        <c:ptCount val="1"/>
                        <c:pt idx="0">
                          <c:v>Cary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76-494B-8924-421BA82E7D87}"/>
                </c:ext>
              </c:extLst>
            </c:dLbl>
            <c:dLbl>
              <c:idx val="3"/>
              <c:layout>
                <c:manualLayout>
                  <c:x val="-2.9717682020802376E-2"/>
                  <c:y val="6.2868369351669937E-2"/>
                </c:manualLayout>
              </c:layout>
              <c:tx>
                <c:strRef>
                  <c:f>Scatterplot!$B$6</c:f>
                  <c:strCache>
                    <c:ptCount val="1"/>
                    <c:pt idx="0">
                      <c:v>Charlotte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{1862E1F6-C314-4938-9E0C-7940A66D8CD6}</c15:txfldGUID>
                      <c15:f>Scatterplot!$B$6</c15:f>
                      <c15:dlblFieldTableCache>
                        <c:ptCount val="1"/>
                        <c:pt idx="0">
                          <c:v>Charlotte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F776-494B-8924-421BA82E7D87}"/>
                </c:ext>
              </c:extLst>
            </c:dLbl>
            <c:dLbl>
              <c:idx val="4"/>
              <c:tx>
                <c:strRef>
                  <c:f>Scatterplot!$B$7</c:f>
                  <c:strCache>
                    <c:ptCount val="1"/>
                    <c:pt idx="0">
                      <c:v>Concord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{D7B773AE-3C7D-41CA-98CA-A1E90C4BE73E}</c15:txfldGUID>
                      <c15:f>Scatterplot!$B$7</c15:f>
                      <c15:dlblFieldTableCache>
                        <c:ptCount val="1"/>
                        <c:pt idx="0">
                          <c:v>Concord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F776-494B-8924-421BA82E7D87}"/>
                </c:ext>
              </c:extLst>
            </c:dLbl>
            <c:dLbl>
              <c:idx val="5"/>
              <c:layout>
                <c:manualLayout>
                  <c:x val="0"/>
                  <c:y val="7.8585461689586952E-3"/>
                </c:manualLayout>
              </c:layout>
              <c:tx>
                <c:strRef>
                  <c:f>Scatterplot!$B$8</c:f>
                  <c:strCache>
                    <c:ptCount val="1"/>
                    <c:pt idx="0">
                      <c:v>Durham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{59B3C19D-0814-496C-8A05-31098DA76075}</c15:txfldGUID>
                      <c15:f>Scatterplot!$B$8</c15:f>
                      <c15:dlblFieldTableCache>
                        <c:ptCount val="1"/>
                        <c:pt idx="0">
                          <c:v>Durham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F776-494B-8924-421BA82E7D87}"/>
                </c:ext>
              </c:extLst>
            </c:dLbl>
            <c:dLbl>
              <c:idx val="6"/>
              <c:tx>
                <c:strRef>
                  <c:f>Scatterplot!$B$9</c:f>
                  <c:strCache>
                    <c:ptCount val="1"/>
                    <c:pt idx="0">
                      <c:v>Gastonia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{30ED559D-FECF-44D7-83EB-C08F2B457329}</c15:txfldGUID>
                      <c15:f>Scatterplot!$B$9</c15:f>
                      <c15:dlblFieldTableCache>
                        <c:ptCount val="1"/>
                        <c:pt idx="0">
                          <c:v>Gastonia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F776-494B-8924-421BA82E7D87}"/>
                </c:ext>
              </c:extLst>
            </c:dLbl>
            <c:dLbl>
              <c:idx val="7"/>
              <c:tx>
                <c:strRef>
                  <c:f>Scatterplot!$B$10</c:f>
                  <c:strCache>
                    <c:ptCount val="1"/>
                    <c:pt idx="0">
                      <c:v>Greensboro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{8FB42FB1-75CC-45A7-ACF6-733AA9600DAA}</c15:txfldGUID>
                      <c15:f>Scatterplot!$B$10</c15:f>
                      <c15:dlblFieldTableCache>
                        <c:ptCount val="1"/>
                        <c:pt idx="0">
                          <c:v>Greensboro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F776-494B-8924-421BA82E7D87}"/>
                </c:ext>
              </c:extLst>
            </c:dLbl>
            <c:dLbl>
              <c:idx val="8"/>
              <c:layout>
                <c:manualLayout>
                  <c:x val="-2.9717682020802376E-2"/>
                  <c:y val="6.5487884741322874E-2"/>
                </c:manualLayout>
              </c:layout>
              <c:tx>
                <c:strRef>
                  <c:f>Scatterplot!$B$11</c:f>
                  <c:strCache>
                    <c:ptCount val="1"/>
                    <c:pt idx="0">
                      <c:v>Hickory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{024DFAB2-2FD7-4170-8C68-B4396A507464}</c15:txfldGUID>
                      <c15:f>Scatterplot!$B$11</c15:f>
                      <c15:dlblFieldTableCache>
                        <c:ptCount val="1"/>
                        <c:pt idx="0">
                          <c:v>Hickory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F776-494B-8924-421BA82E7D87}"/>
                </c:ext>
              </c:extLst>
            </c:dLbl>
            <c:dLbl>
              <c:idx val="9"/>
              <c:layout>
                <c:manualLayout>
                  <c:x val="-4.7548291233283878E-2"/>
                  <c:y val="3.4053700065487885E-2"/>
                </c:manualLayout>
              </c:layout>
              <c:tx>
                <c:strRef>
                  <c:f>Scatterplot!$B$12</c:f>
                  <c:strCache>
                    <c:ptCount val="1"/>
                    <c:pt idx="0">
                      <c:v>High Point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{AB6C9449-8543-4C44-9094-9D064391006B}</c15:txfldGUID>
                      <c15:f>Scatterplot!$B$12</c15:f>
                      <c15:dlblFieldTableCache>
                        <c:ptCount val="1"/>
                        <c:pt idx="0">
                          <c:v>High Point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F776-494B-8924-421BA82E7D87}"/>
                </c:ext>
              </c:extLst>
            </c:dLbl>
            <c:dLbl>
              <c:idx val="10"/>
              <c:tx>
                <c:strRef>
                  <c:f>Scatterplot!$B$13</c:f>
                  <c:strCache>
                    <c:ptCount val="1"/>
                    <c:pt idx="0">
                      <c:v>Matthews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{8F3DDE1D-C42B-47FD-A58D-EDE4C1137808}</c15:txfldGUID>
                      <c15:f>Scatterplot!$B$13</c15:f>
                      <c15:dlblFieldTableCache>
                        <c:ptCount val="1"/>
                        <c:pt idx="0">
                          <c:v>Matthews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F776-494B-8924-421BA82E7D87}"/>
                </c:ext>
              </c:extLst>
            </c:dLbl>
            <c:dLbl>
              <c:idx val="11"/>
              <c:layout>
                <c:manualLayout>
                  <c:x val="4.7548291233283878E-2"/>
                  <c:y val="3.1434184675834982E-2"/>
                </c:manualLayout>
              </c:layout>
              <c:tx>
                <c:strRef>
                  <c:f>Scatterplot!$B$14</c:f>
                  <c:strCache>
                    <c:ptCount val="1"/>
                    <c:pt idx="0">
                      <c:v>Raleigh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{5DD206C5-C608-4F7F-B4B0-B497C827B81F}</c15:txfldGUID>
                      <c15:f>Scatterplot!$B$14</c15:f>
                      <c15:dlblFieldTableCache>
                        <c:ptCount val="1"/>
                        <c:pt idx="0">
                          <c:v>Raleigh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F776-494B-8924-421BA82E7D87}"/>
                </c:ext>
              </c:extLst>
            </c:dLbl>
            <c:dLbl>
              <c:idx val="12"/>
              <c:tx>
                <c:strRef>
                  <c:f>Scatterplot!$B$15</c:f>
                  <c:strCache>
                    <c:ptCount val="1"/>
                    <c:pt idx="0">
                      <c:v>Salisbury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{34156C36-1B40-4888-81A2-432BA9D7DAFA}</c15:txfldGUID>
                      <c15:f>Scatterplot!$B$15</c15:f>
                      <c15:dlblFieldTableCache>
                        <c:ptCount val="1"/>
                        <c:pt idx="0">
                          <c:v>Salisbury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F776-494B-8924-421BA82E7D87}"/>
                </c:ext>
              </c:extLst>
            </c:dLbl>
            <c:dLbl>
              <c:idx val="13"/>
              <c:tx>
                <c:strRef>
                  <c:f>Scatterplot!$B$16</c:f>
                  <c:strCache>
                    <c:ptCount val="1"/>
                    <c:pt idx="0">
                      <c:v>Wilmington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{026413B4-932B-4B37-B211-DEE1D918E9F7}</c15:txfldGUID>
                      <c15:f>Scatterplot!$B$16</c15:f>
                      <c15:dlblFieldTableCache>
                        <c:ptCount val="1"/>
                        <c:pt idx="0">
                          <c:v>Wilmington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F776-494B-8924-421BA82E7D87}"/>
                </c:ext>
              </c:extLst>
            </c:dLbl>
            <c:dLbl>
              <c:idx val="14"/>
              <c:layout>
                <c:manualLayout>
                  <c:x val="3.7642397226349787E-2"/>
                  <c:y val="2.3575638506876252E-2"/>
                </c:manualLayout>
              </c:layout>
              <c:tx>
                <c:strRef>
                  <c:f>Scatterplot!$B$17</c:f>
                  <c:strCache>
                    <c:ptCount val="1"/>
                    <c:pt idx="0">
                      <c:v>Wilson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{F66B9B30-9F84-4857-BA72-69BA168ECB82}</c15:txfldGUID>
                      <c15:f>Scatterplot!$B$17</c15:f>
                      <c15:dlblFieldTableCache>
                        <c:ptCount val="1"/>
                        <c:pt idx="0">
                          <c:v>Wilson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F776-494B-8924-421BA82E7D87}"/>
                </c:ext>
              </c:extLst>
            </c:dLbl>
            <c:dLbl>
              <c:idx val="15"/>
              <c:layout>
                <c:manualLayout>
                  <c:x val="-5.3491827637444332E-2"/>
                  <c:y val="6.8107400130975784E-2"/>
                </c:manualLayout>
              </c:layout>
              <c:tx>
                <c:strRef>
                  <c:f>Scatterplot!$B$18</c:f>
                  <c:strCache>
                    <c:ptCount val="1"/>
                    <c:pt idx="0">
                      <c:v>Winston-Salem</c:v>
                    </c:pt>
                  </c:strCache>
                </c:strRef>
              </c:tx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{B8317ED3-0A3F-4498-8C4B-A0A8B97C6E30}</c15:txfldGUID>
                      <c15:f>Scatterplot!$B$18</c15:f>
                      <c15:dlblFieldTableCache>
                        <c:ptCount val="1"/>
                        <c:pt idx="0">
                          <c:v>Winston-Salem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F776-494B-8924-421BA82E7D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25400">
                <a:solidFill>
                  <a:srgbClr val="FF0000"/>
                </a:solidFill>
              </a:ln>
            </c:spPr>
            <c:trendlineType val="linear"/>
            <c:dispRSqr val="1"/>
            <c:dispEq val="1"/>
            <c:trendlineLbl>
              <c:layout>
                <c:manualLayout>
                  <c:x val="5.8541181609356778E-2"/>
                  <c:y val="-0.37911359311913184"/>
                </c:manualLayout>
              </c:layout>
              <c:numFmt formatCode="General" sourceLinked="0"/>
              <c:spPr>
                <a:solidFill>
                  <a:schemeClr val="accent6">
                    <a:lumMod val="20000"/>
                    <a:lumOff val="80000"/>
                  </a:schemeClr>
                </a:solidFill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xVal>
            <c:numRef>
              <c:f>'Scatterplot (2)'!$C$3:$C$18</c:f>
              <c:numCache>
                <c:formatCode>General</c:formatCode>
                <c:ptCount val="16"/>
                <c:pt idx="0">
                  <c:v>1962</c:v>
                </c:pt>
                <c:pt idx="1">
                  <c:v>1982</c:v>
                </c:pt>
                <c:pt idx="2">
                  <c:v>1991</c:v>
                </c:pt>
                <c:pt idx="3">
                  <c:v>1979</c:v>
                </c:pt>
                <c:pt idx="4">
                  <c:v>1981</c:v>
                </c:pt>
                <c:pt idx="5">
                  <c:v>1977</c:v>
                </c:pt>
                <c:pt idx="6">
                  <c:v>1970</c:v>
                </c:pt>
                <c:pt idx="7">
                  <c:v>1974</c:v>
                </c:pt>
                <c:pt idx="8">
                  <c:v>1974</c:v>
                </c:pt>
                <c:pt idx="9">
                  <c:v>1973</c:v>
                </c:pt>
                <c:pt idx="10">
                  <c:v>1987</c:v>
                </c:pt>
                <c:pt idx="11">
                  <c:v>1981</c:v>
                </c:pt>
                <c:pt idx="12">
                  <c:v>1963</c:v>
                </c:pt>
                <c:pt idx="13">
                  <c:v>1974</c:v>
                </c:pt>
                <c:pt idx="14">
                  <c:v>1973</c:v>
                </c:pt>
                <c:pt idx="15">
                  <c:v>1969</c:v>
                </c:pt>
              </c:numCache>
            </c:numRef>
          </c:xVal>
          <c:yVal>
            <c:numRef>
              <c:f>'Scatterplot (2)'!$D$3:$D$18</c:f>
              <c:numCache>
                <c:formatCode>General</c:formatCode>
                <c:ptCount val="16"/>
                <c:pt idx="0">
                  <c:v>6.91</c:v>
                </c:pt>
                <c:pt idx="1">
                  <c:v>3.32</c:v>
                </c:pt>
                <c:pt idx="2">
                  <c:v>2.37</c:v>
                </c:pt>
                <c:pt idx="3">
                  <c:v>3.99</c:v>
                </c:pt>
                <c:pt idx="4">
                  <c:v>4.75</c:v>
                </c:pt>
                <c:pt idx="5">
                  <c:v>4.72</c:v>
                </c:pt>
                <c:pt idx="6">
                  <c:v>6.47</c:v>
                </c:pt>
                <c:pt idx="7">
                  <c:v>4.84</c:v>
                </c:pt>
                <c:pt idx="8">
                  <c:v>4.5</c:v>
                </c:pt>
                <c:pt idx="9">
                  <c:v>5.79</c:v>
                </c:pt>
                <c:pt idx="10">
                  <c:v>4.9400000000000004</c:v>
                </c:pt>
                <c:pt idx="11">
                  <c:v>3.84</c:v>
                </c:pt>
                <c:pt idx="12">
                  <c:v>6.02</c:v>
                </c:pt>
                <c:pt idx="13">
                  <c:v>6.47</c:v>
                </c:pt>
                <c:pt idx="14">
                  <c:v>5.78</c:v>
                </c:pt>
                <c:pt idx="15">
                  <c:v>4.93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F776-494B-8924-421BA82E7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98048"/>
        <c:axId val="186590336"/>
      </c:scatterChart>
      <c:valAx>
        <c:axId val="186498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Median Year Housing Built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6590336"/>
        <c:crosses val="autoZero"/>
        <c:crossBetween val="midCat"/>
      </c:valAx>
      <c:valAx>
        <c:axId val="186590336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Fires per 1,000 Pop.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6498048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'Forecasting 1'!$C$3</c:f>
              <c:strCache>
                <c:ptCount val="1"/>
                <c:pt idx="0">
                  <c:v> Property Tax 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cat>
            <c:numRef>
              <c:f>'Forecasting 1'!$B$4:$B$9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'Forecasting 1'!$C$4:$C$9</c:f>
              <c:numCache>
                <c:formatCode>_(* #,##0_);_(* \(#,##0\);_(* "-"??_);_(@_)</c:formatCode>
                <c:ptCount val="6"/>
                <c:pt idx="0">
                  <c:v>16342318</c:v>
                </c:pt>
                <c:pt idx="1">
                  <c:v>18690329</c:v>
                </c:pt>
                <c:pt idx="2">
                  <c:v>21276968</c:v>
                </c:pt>
                <c:pt idx="3">
                  <c:v>21713205</c:v>
                </c:pt>
                <c:pt idx="4">
                  <c:v>23081521</c:v>
                </c:pt>
                <c:pt idx="5">
                  <c:v>25267247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70-4BD5-97E3-8A0A1CCB15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864064"/>
        <c:axId val="195865984"/>
      </c:lineChart>
      <c:catAx>
        <c:axId val="195864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5865984"/>
        <c:crosses val="autoZero"/>
        <c:auto val="1"/>
        <c:lblAlgn val="ctr"/>
        <c:lblOffset val="100"/>
        <c:noMultiLvlLbl val="0"/>
      </c:catAx>
      <c:valAx>
        <c:axId val="19586598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586406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'Forecasting 1'!$E$3</c:f>
              <c:strCache>
                <c:ptCount val="1"/>
                <c:pt idx="0">
                  <c:v> Occupancy Tax 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cat>
            <c:numRef>
              <c:f>'Forecasting 1'!$B$4:$B$9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'Forecasting 1'!$E$4:$E$9</c:f>
              <c:numCache>
                <c:formatCode>_(* #,##0_);_(* \(#,##0\);_(* "-"??_);_(@_)</c:formatCode>
                <c:ptCount val="6"/>
                <c:pt idx="0">
                  <c:v>786233</c:v>
                </c:pt>
                <c:pt idx="1">
                  <c:v>689942</c:v>
                </c:pt>
                <c:pt idx="2">
                  <c:v>563486</c:v>
                </c:pt>
                <c:pt idx="3">
                  <c:v>572932</c:v>
                </c:pt>
                <c:pt idx="4">
                  <c:v>675295</c:v>
                </c:pt>
                <c:pt idx="5">
                  <c:v>783509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65-40B6-BB17-EF21AB7BE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871872"/>
        <c:axId val="195873792"/>
      </c:lineChart>
      <c:catAx>
        <c:axId val="195871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5873792"/>
        <c:crosses val="autoZero"/>
        <c:auto val="1"/>
        <c:lblAlgn val="ctr"/>
        <c:lblOffset val="100"/>
        <c:noMultiLvlLbl val="0"/>
      </c:catAx>
      <c:valAx>
        <c:axId val="19587379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58718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'Forecasting 1'!$D$3</c:f>
              <c:strCache>
                <c:ptCount val="1"/>
                <c:pt idx="0">
                  <c:v> Sales Tax 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</c:spPr>
          </c:marker>
          <c:cat>
            <c:numRef>
              <c:f>'Forecasting 1'!$B$4:$B$9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cat>
          <c:val>
            <c:numRef>
              <c:f>'Forecasting 1'!$D$4:$D$9</c:f>
              <c:numCache>
                <c:formatCode>_(* #,##0_);_(* \(#,##0\);_(* "-"??_);_(@_)</c:formatCode>
                <c:ptCount val="6"/>
                <c:pt idx="0">
                  <c:v>5879696</c:v>
                </c:pt>
                <c:pt idx="1">
                  <c:v>6424167</c:v>
                </c:pt>
                <c:pt idx="2">
                  <c:v>6974456</c:v>
                </c:pt>
                <c:pt idx="3">
                  <c:v>7654959</c:v>
                </c:pt>
                <c:pt idx="4">
                  <c:v>8456040</c:v>
                </c:pt>
                <c:pt idx="5">
                  <c:v>9138060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58-4207-864A-DF81CA2AD1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934848"/>
        <c:axId val="195941120"/>
      </c:lineChart>
      <c:catAx>
        <c:axId val="19593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5941120"/>
        <c:crosses val="autoZero"/>
        <c:auto val="1"/>
        <c:lblAlgn val="ctr"/>
        <c:lblOffset val="100"/>
        <c:noMultiLvlLbl val="0"/>
      </c:catAx>
      <c:valAx>
        <c:axId val="1959411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959348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</xdr:row>
      <xdr:rowOff>0</xdr:rowOff>
    </xdr:from>
    <xdr:to>
      <xdr:col>13</xdr:col>
      <xdr:colOff>34637</xdr:colOff>
      <xdr:row>25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26</xdr:row>
      <xdr:rowOff>0</xdr:rowOff>
    </xdr:from>
    <xdr:to>
      <xdr:col>13</xdr:col>
      <xdr:colOff>6061</xdr:colOff>
      <xdr:row>49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56</xdr:row>
      <xdr:rowOff>0</xdr:rowOff>
    </xdr:from>
    <xdr:to>
      <xdr:col>41</xdr:col>
      <xdr:colOff>171450</xdr:colOff>
      <xdr:row>84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6725" y="9715500"/>
          <a:ext cx="8305800" cy="43148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217833</xdr:colOff>
      <xdr:row>2</xdr:row>
      <xdr:rowOff>38100</xdr:rowOff>
    </xdr:from>
    <xdr:to>
      <xdr:col>15</xdr:col>
      <xdr:colOff>542925</xdr:colOff>
      <xdr:row>22</xdr:row>
      <xdr:rowOff>9525</xdr:rowOff>
    </xdr:to>
    <xdr:graphicFrame macro="">
      <xdr:nvGraphicFramePr>
        <xdr:cNvPr id="2049" name="Chart 3">
          <a:extLst>
            <a:ext uri="{FF2B5EF4-FFF2-40B4-BE49-F238E27FC236}">
              <a16:creationId xmlns:a16="http://schemas.microsoft.com/office/drawing/2014/main" id="{00000000-0008-0000-0E00-000001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586068</xdr:colOff>
      <xdr:row>0</xdr:row>
      <xdr:rowOff>0</xdr:rowOff>
    </xdr:from>
    <xdr:to>
      <xdr:col>19</xdr:col>
      <xdr:colOff>414619</xdr:colOff>
      <xdr:row>11</xdr:row>
      <xdr:rowOff>171450</xdr:rowOff>
    </xdr:to>
    <xdr:graphicFrame macro="">
      <xdr:nvGraphicFramePr>
        <xdr:cNvPr id="4097" name="Chart 1">
          <a:extLst>
            <a:ext uri="{FF2B5EF4-FFF2-40B4-BE49-F238E27FC236}">
              <a16:creationId xmlns:a16="http://schemas.microsoft.com/office/drawing/2014/main" id="{00000000-0008-0000-0F00-000001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571501</xdr:colOff>
      <xdr:row>12</xdr:row>
      <xdr:rowOff>11206</xdr:rowOff>
    </xdr:from>
    <xdr:to>
      <xdr:col>19</xdr:col>
      <xdr:colOff>428627</xdr:colOff>
      <xdr:row>35</xdr:row>
      <xdr:rowOff>168088</xdr:rowOff>
    </xdr:to>
    <xdr:graphicFrame macro="">
      <xdr:nvGraphicFramePr>
        <xdr:cNvPr id="4098" name="Chart 2">
          <a:extLst>
            <a:ext uri="{FF2B5EF4-FFF2-40B4-BE49-F238E27FC236}">
              <a16:creationId xmlns:a16="http://schemas.microsoft.com/office/drawing/2014/main" id="{00000000-0008-0000-0F00-000002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526676</xdr:colOff>
      <xdr:row>6</xdr:row>
      <xdr:rowOff>100852</xdr:rowOff>
    </xdr:from>
    <xdr:to>
      <xdr:col>13</xdr:col>
      <xdr:colOff>268941</xdr:colOff>
      <xdr:row>8</xdr:row>
      <xdr:rowOff>168087</xdr:rowOff>
    </xdr:to>
    <xdr:sp macro="" textlink="">
      <xdr:nvSpPr>
        <xdr:cNvPr id="2" name="Line Callout 2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7227794" y="2465293"/>
          <a:ext cx="1557618" cy="470647"/>
        </a:xfrm>
        <a:prstGeom prst="borderCallout2">
          <a:avLst>
            <a:gd name="adj1" fmla="val 28274"/>
            <a:gd name="adj2" fmla="val 103178"/>
            <a:gd name="adj3" fmla="val -12203"/>
            <a:gd name="adj4" fmla="val 109232"/>
            <a:gd name="adj5" fmla="val -77828"/>
            <a:gd name="adj6" fmla="val 13413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Divergence in the</a:t>
          </a:r>
          <a:r>
            <a:rPr lang="en-US" sz="1100" baseline="0"/>
            <a:t> late 90s and early 2000s</a:t>
          </a:r>
          <a:endParaRPr lang="en-US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92351</xdr:rowOff>
    </xdr:from>
    <xdr:to>
      <xdr:col>8</xdr:col>
      <xdr:colOff>248479</xdr:colOff>
      <xdr:row>48</xdr:row>
      <xdr:rowOff>99392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1114425</xdr:colOff>
      <xdr:row>90</xdr:row>
      <xdr:rowOff>9525</xdr:rowOff>
    </xdr:from>
    <xdr:to>
      <xdr:col>7</xdr:col>
      <xdr:colOff>1162050</xdr:colOff>
      <xdr:row>108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323850</xdr:colOff>
      <xdr:row>56</xdr:row>
      <xdr:rowOff>0</xdr:rowOff>
    </xdr:from>
    <xdr:to>
      <xdr:col>8</xdr:col>
      <xdr:colOff>0</xdr:colOff>
      <xdr:row>72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9</xdr:col>
      <xdr:colOff>0</xdr:colOff>
      <xdr:row>20</xdr:row>
      <xdr:rowOff>0</xdr:rowOff>
    </xdr:to>
    <xdr:graphicFrame macro="">
      <xdr:nvGraphicFramePr>
        <xdr:cNvPr id="7169" name="Chart 1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15</xdr:col>
      <xdr:colOff>0</xdr:colOff>
      <xdr:row>20</xdr:row>
      <xdr:rowOff>0</xdr:rowOff>
    </xdr:to>
    <xdr:graphicFrame macro="">
      <xdr:nvGraphicFramePr>
        <xdr:cNvPr id="7170" name="Chart 2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15</xdr:col>
      <xdr:colOff>323850</xdr:colOff>
      <xdr:row>14</xdr:row>
      <xdr:rowOff>28575</xdr:rowOff>
    </xdr:from>
    <xdr:to>
      <xdr:col>20</xdr:col>
      <xdr:colOff>0</xdr:colOff>
      <xdr:row>15</xdr:row>
      <xdr:rowOff>76200</xdr:rowOff>
    </xdr:to>
    <xdr:pic>
      <xdr:nvPicPr>
        <xdr:cNvPr id="7171" name="Picture 5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058400" y="3457575"/>
          <a:ext cx="2638425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295275</xdr:colOff>
      <xdr:row>0</xdr:row>
      <xdr:rowOff>180975</xdr:rowOff>
    </xdr:from>
    <xdr:to>
      <xdr:col>15</xdr:col>
      <xdr:colOff>0</xdr:colOff>
      <xdr:row>24</xdr:row>
      <xdr:rowOff>76200</xdr:rowOff>
    </xdr:to>
    <xdr:graphicFrame macro="">
      <xdr:nvGraphicFramePr>
        <xdr:cNvPr id="10241" name="Chart 3">
          <a:extLst>
            <a:ext uri="{FF2B5EF4-FFF2-40B4-BE49-F238E27FC236}">
              <a16:creationId xmlns:a16="http://schemas.microsoft.com/office/drawing/2014/main" id="{00000000-0008-0000-0500-0000012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295275</xdr:colOff>
      <xdr:row>0</xdr:row>
      <xdr:rowOff>180975</xdr:rowOff>
    </xdr:from>
    <xdr:to>
      <xdr:col>15</xdr:col>
      <xdr:colOff>0</xdr:colOff>
      <xdr:row>24</xdr:row>
      <xdr:rowOff>76200</xdr:rowOff>
    </xdr:to>
    <xdr:graphicFrame macro="">
      <xdr:nvGraphicFramePr>
        <xdr:cNvPr id="12289" name="Chart 3">
          <a:extLst>
            <a:ext uri="{FF2B5EF4-FFF2-40B4-BE49-F238E27FC236}">
              <a16:creationId xmlns:a16="http://schemas.microsoft.com/office/drawing/2014/main" id="{00000000-0008-0000-0600-0000013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581025</xdr:colOff>
      <xdr:row>24</xdr:row>
      <xdr:rowOff>152400</xdr:rowOff>
    </xdr:from>
    <xdr:to>
      <xdr:col>13</xdr:col>
      <xdr:colOff>285750</xdr:colOff>
      <xdr:row>27</xdr:row>
      <xdr:rowOff>47625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8915400" y="5124450"/>
          <a:ext cx="314325" cy="4667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12</xdr:col>
      <xdr:colOff>66675</xdr:colOff>
      <xdr:row>35</xdr:row>
      <xdr:rowOff>133350</xdr:rowOff>
    </xdr:from>
    <xdr:to>
      <xdr:col>13</xdr:col>
      <xdr:colOff>333375</xdr:colOff>
      <xdr:row>37</xdr:row>
      <xdr:rowOff>76200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8401050" y="7239000"/>
          <a:ext cx="876300" cy="3238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1</xdr:row>
      <xdr:rowOff>409576</xdr:rowOff>
    </xdr:from>
    <xdr:to>
      <xdr:col>9</xdr:col>
      <xdr:colOff>371475</xdr:colOff>
      <xdr:row>3</xdr:row>
      <xdr:rowOff>180975</xdr:rowOff>
    </xdr:to>
    <xdr:sp macro="" textlink="">
      <xdr:nvSpPr>
        <xdr:cNvPr id="3" name="Left Arrow Callou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4410075" y="600076"/>
          <a:ext cx="2733675" cy="533399"/>
        </a:xfrm>
        <a:prstGeom prst="leftArrowCallout">
          <a:avLst>
            <a:gd name="adj1" fmla="val 25000"/>
            <a:gd name="adj2" fmla="val 25000"/>
            <a:gd name="adj3" fmla="val 25000"/>
            <a:gd name="adj4" fmla="val 87470"/>
          </a:avLst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100" b="1">
              <a:solidFill>
                <a:schemeClr val="bg1">
                  <a:lumMod val="50000"/>
                </a:schemeClr>
              </a:solidFill>
            </a:rPr>
            <a:t>=TREND($D$3:$D$18,$C$3:$C$18,C3)</a:t>
          </a:r>
        </a:p>
      </xdr:txBody>
    </xdr:sp>
    <xdr:clientData/>
  </xdr:twoCellAnchor>
  <xdr:twoCellAnchor>
    <xdr:from>
      <xdr:col>5</xdr:col>
      <xdr:colOff>95250</xdr:colOff>
      <xdr:row>19</xdr:row>
      <xdr:rowOff>9525</xdr:rowOff>
    </xdr:from>
    <xdr:to>
      <xdr:col>9</xdr:col>
      <xdr:colOff>428625</xdr:colOff>
      <xdr:row>21</xdr:row>
      <xdr:rowOff>161924</xdr:rowOff>
    </xdr:to>
    <xdr:sp macro="" textlink="">
      <xdr:nvSpPr>
        <xdr:cNvPr id="4" name="Left Arrow Callou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4429125" y="4010025"/>
          <a:ext cx="2771775" cy="533399"/>
        </a:xfrm>
        <a:prstGeom prst="leftArrowCallout">
          <a:avLst>
            <a:gd name="adj1" fmla="val 25000"/>
            <a:gd name="adj2" fmla="val 25000"/>
            <a:gd name="adj3" fmla="val 25000"/>
            <a:gd name="adj4" fmla="val 87470"/>
          </a:avLst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100" b="1">
              <a:solidFill>
                <a:schemeClr val="bg1">
                  <a:lumMod val="50000"/>
                </a:schemeClr>
              </a:solidFill>
            </a:rPr>
            <a:t>=TREND($D$3:$D$18,$C$3:$C$18,C21)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171450</xdr:rowOff>
    </xdr:from>
    <xdr:to>
      <xdr:col>5</xdr:col>
      <xdr:colOff>0</xdr:colOff>
      <xdr:row>22</xdr:row>
      <xdr:rowOff>0</xdr:rowOff>
    </xdr:to>
    <xdr:graphicFrame macro="">
      <xdr:nvGraphicFramePr>
        <xdr:cNvPr id="15361" name="Chart 1">
          <a:extLst>
            <a:ext uri="{FF2B5EF4-FFF2-40B4-BE49-F238E27FC236}">
              <a16:creationId xmlns:a16="http://schemas.microsoft.com/office/drawing/2014/main" id="{00000000-0008-0000-0800-000001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123825</xdr:colOff>
      <xdr:row>10</xdr:row>
      <xdr:rowOff>0</xdr:rowOff>
    </xdr:from>
    <xdr:to>
      <xdr:col>10</xdr:col>
      <xdr:colOff>419100</xdr:colOff>
      <xdr:row>22</xdr:row>
      <xdr:rowOff>19050</xdr:rowOff>
    </xdr:to>
    <xdr:graphicFrame macro="">
      <xdr:nvGraphicFramePr>
        <xdr:cNvPr id="15362" name="Chart 5">
          <a:extLst>
            <a:ext uri="{FF2B5EF4-FFF2-40B4-BE49-F238E27FC236}">
              <a16:creationId xmlns:a16="http://schemas.microsoft.com/office/drawing/2014/main" id="{00000000-0008-0000-0800-000002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23</xdr:row>
      <xdr:rowOff>0</xdr:rowOff>
    </xdr:from>
    <xdr:to>
      <xdr:col>5</xdr:col>
      <xdr:colOff>0</xdr:colOff>
      <xdr:row>35</xdr:row>
      <xdr:rowOff>19050</xdr:rowOff>
    </xdr:to>
    <xdr:graphicFrame macro="">
      <xdr:nvGraphicFramePr>
        <xdr:cNvPr id="15363" name="Chart 6">
          <a:extLst>
            <a:ext uri="{FF2B5EF4-FFF2-40B4-BE49-F238E27FC236}">
              <a16:creationId xmlns:a16="http://schemas.microsoft.com/office/drawing/2014/main" id="{00000000-0008-0000-0800-000003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200025</xdr:colOff>
      <xdr:row>23</xdr:row>
      <xdr:rowOff>0</xdr:rowOff>
    </xdr:from>
    <xdr:to>
      <xdr:col>10</xdr:col>
      <xdr:colOff>495300</xdr:colOff>
      <xdr:row>35</xdr:row>
      <xdr:rowOff>19050</xdr:rowOff>
    </xdr:to>
    <xdr:graphicFrame macro="">
      <xdr:nvGraphicFramePr>
        <xdr:cNvPr id="15364" name="Chart 7">
          <a:extLst>
            <a:ext uri="{FF2B5EF4-FFF2-40B4-BE49-F238E27FC236}">
              <a16:creationId xmlns:a16="http://schemas.microsoft.com/office/drawing/2014/main" id="{00000000-0008-0000-0800-000004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171450</xdr:rowOff>
    </xdr:from>
    <xdr:to>
      <xdr:col>5</xdr:col>
      <xdr:colOff>0</xdr:colOff>
      <xdr:row>27</xdr:row>
      <xdr:rowOff>0</xdr:rowOff>
    </xdr:to>
    <xdr:graphicFrame macro="">
      <xdr:nvGraphicFramePr>
        <xdr:cNvPr id="20481" name="Chart 1">
          <a:extLst>
            <a:ext uri="{FF2B5EF4-FFF2-40B4-BE49-F238E27FC236}">
              <a16:creationId xmlns:a16="http://schemas.microsoft.com/office/drawing/2014/main" id="{00000000-0008-0000-0900-000001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123825</xdr:colOff>
      <xdr:row>15</xdr:row>
      <xdr:rowOff>0</xdr:rowOff>
    </xdr:from>
    <xdr:to>
      <xdr:col>10</xdr:col>
      <xdr:colOff>419100</xdr:colOff>
      <xdr:row>27</xdr:row>
      <xdr:rowOff>19050</xdr:rowOff>
    </xdr:to>
    <xdr:graphicFrame macro="">
      <xdr:nvGraphicFramePr>
        <xdr:cNvPr id="20482" name="Chart 2">
          <a:extLst>
            <a:ext uri="{FF2B5EF4-FFF2-40B4-BE49-F238E27FC236}">
              <a16:creationId xmlns:a16="http://schemas.microsoft.com/office/drawing/2014/main" id="{00000000-0008-0000-0900-000002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5</xdr:col>
      <xdr:colOff>0</xdr:colOff>
      <xdr:row>40</xdr:row>
      <xdr:rowOff>19050</xdr:rowOff>
    </xdr:to>
    <xdr:graphicFrame macro="">
      <xdr:nvGraphicFramePr>
        <xdr:cNvPr id="20483" name="Chart 3">
          <a:extLst>
            <a:ext uri="{FF2B5EF4-FFF2-40B4-BE49-F238E27FC236}">
              <a16:creationId xmlns:a16="http://schemas.microsoft.com/office/drawing/2014/main" id="{00000000-0008-0000-0900-000003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200025</xdr:colOff>
      <xdr:row>28</xdr:row>
      <xdr:rowOff>0</xdr:rowOff>
    </xdr:from>
    <xdr:to>
      <xdr:col>10</xdr:col>
      <xdr:colOff>495300</xdr:colOff>
      <xdr:row>40</xdr:row>
      <xdr:rowOff>19050</xdr:rowOff>
    </xdr:to>
    <xdr:graphicFrame macro="">
      <xdr:nvGraphicFramePr>
        <xdr:cNvPr id="20484" name="Chart 4">
          <a:extLst>
            <a:ext uri="{FF2B5EF4-FFF2-40B4-BE49-F238E27FC236}">
              <a16:creationId xmlns:a16="http://schemas.microsoft.com/office/drawing/2014/main" id="{00000000-0008-0000-0900-000004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48</xdr:row>
      <xdr:rowOff>71436</xdr:rowOff>
    </xdr:from>
    <xdr:to>
      <xdr:col>12</xdr:col>
      <xdr:colOff>133350</xdr:colOff>
      <xdr:row>76</xdr:row>
      <xdr:rowOff>19049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A83540-39AA-4DE5-88B7-338FF66A7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112057</xdr:colOff>
      <xdr:row>6</xdr:row>
      <xdr:rowOff>78444</xdr:rowOff>
    </xdr:from>
    <xdr:to>
      <xdr:col>7</xdr:col>
      <xdr:colOff>448235</xdr:colOff>
      <xdr:row>8</xdr:row>
      <xdr:rowOff>78442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 rot="5400000">
          <a:off x="5395072" y="-299196"/>
          <a:ext cx="361948" cy="3784228"/>
        </a:xfrm>
        <a:prstGeom prst="bentArrow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%20Mark\QM501Y\Class%20Notes\18%20Queueing%20Applications\Q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ROENIGK\Excel%20Tool%20Modeling%20Examples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ROENIGK\Forecasting%202021.xlsx" TargetMode="External"/><Relationship Id="rId1" Type="http://schemas.openxmlformats.org/officeDocument/2006/relationships/externalLinkPath" Target="file:///D:\IROENIGK\Forecasting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ample #1"/>
      <sheetName val="Example #2"/>
      <sheetName val="McDonalds"/>
      <sheetName val="Wendys"/>
      <sheetName val="Telephone"/>
      <sheetName val="Specific"/>
      <sheetName val="General"/>
      <sheetName val="LL Bean"/>
      <sheetName val="LL Bean F"/>
      <sheetName val="Intro"/>
      <sheetName val="MMs"/>
      <sheetName val="finite queue length"/>
      <sheetName val="finite population"/>
      <sheetName val="MG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reation"/>
      <sheetName val="Portfolio"/>
      <sheetName val="Fire Stations"/>
    </sheetNames>
    <sheetDataSet>
      <sheetData sheetId="0"/>
      <sheetData sheetId="1"/>
      <sheetData sheetId="2">
        <row r="14">
          <cell r="D14">
            <v>2.8</v>
          </cell>
        </row>
        <row r="21">
          <cell r="B21">
            <v>10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rt"/>
      <sheetName val="Pie"/>
      <sheetName val="Trends"/>
      <sheetName val="Pct Increment"/>
      <sheetName val="Property Tax Base"/>
      <sheetName val="PctProj"/>
      <sheetName val="MovAvg"/>
      <sheetName val="Sheet4"/>
      <sheetName val="TimeSer"/>
      <sheetName val="PropTimeSer"/>
      <sheetName val="Sheet3"/>
      <sheetName val="Durham Sales Tax"/>
      <sheetName val="AAA-Model"/>
      <sheetName val="Causal"/>
      <sheetName val="Causal2"/>
    </sheetNames>
    <sheetDataSet>
      <sheetData sheetId="0"/>
      <sheetData sheetId="1" refreshError="1"/>
      <sheetData sheetId="2"/>
      <sheetData sheetId="3">
        <row r="16">
          <cell r="A16">
            <v>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D3" t="str">
            <v>Gross Sales Tax</v>
          </cell>
        </row>
      </sheetData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59999389629810485"/>
  </sheetPr>
  <dimension ref="A1:L38"/>
  <sheetViews>
    <sheetView tabSelected="1" workbookViewId="0">
      <selection activeCell="J26" sqref="J26"/>
    </sheetView>
  </sheetViews>
  <sheetFormatPr defaultRowHeight="15"/>
  <cols>
    <col min="1" max="1" width="11.5703125" customWidth="1"/>
    <col min="2" max="2" width="16.5703125" bestFit="1" customWidth="1"/>
    <col min="3" max="3" width="28.85546875" customWidth="1"/>
    <col min="4" max="4" width="34" customWidth="1"/>
    <col min="6" max="6" width="10.28515625" customWidth="1"/>
    <col min="7" max="7" width="6" customWidth="1"/>
    <col min="10" max="10" width="23.5703125" customWidth="1"/>
  </cols>
  <sheetData>
    <row r="1" spans="1:12">
      <c r="A1" s="40"/>
      <c r="B1" s="40"/>
      <c r="C1" s="40"/>
      <c r="D1" s="40"/>
      <c r="E1" s="41"/>
      <c r="F1" s="41"/>
      <c r="G1" s="41"/>
    </row>
    <row r="2" spans="1:12" ht="15.75">
      <c r="A2" s="42" t="s">
        <v>62</v>
      </c>
      <c r="B2" s="40"/>
      <c r="C2" s="40"/>
      <c r="D2" s="40"/>
      <c r="E2" s="41"/>
      <c r="F2" s="41"/>
      <c r="G2" s="41"/>
    </row>
    <row r="3" spans="1:12">
      <c r="A3" s="40"/>
      <c r="B3" s="40"/>
      <c r="C3" s="40"/>
      <c r="D3" s="40"/>
      <c r="E3" s="41"/>
      <c r="F3" s="41"/>
      <c r="G3" s="41"/>
    </row>
    <row r="4" spans="1:12" ht="26.25">
      <c r="A4" s="43" t="s">
        <v>63</v>
      </c>
      <c r="B4" s="43" t="s">
        <v>64</v>
      </c>
      <c r="C4" s="43" t="s">
        <v>65</v>
      </c>
      <c r="D4" s="43" t="s">
        <v>66</v>
      </c>
      <c r="E4" s="44" t="s">
        <v>67</v>
      </c>
      <c r="F4" s="45" t="s">
        <v>68</v>
      </c>
      <c r="G4" s="41"/>
    </row>
    <row r="5" spans="1:12">
      <c r="A5" s="269" t="s">
        <v>69</v>
      </c>
      <c r="B5" s="46" t="s">
        <v>70</v>
      </c>
      <c r="C5" s="47" t="s">
        <v>71</v>
      </c>
      <c r="D5" s="48" t="s">
        <v>72</v>
      </c>
      <c r="E5" s="49">
        <f>MIN($B$19:$B$38)</f>
        <v>30</v>
      </c>
      <c r="F5" s="49"/>
      <c r="G5" s="41"/>
    </row>
    <row r="6" spans="1:12">
      <c r="A6" s="270"/>
      <c r="B6" s="46" t="s">
        <v>73</v>
      </c>
      <c r="C6" s="47" t="s">
        <v>74</v>
      </c>
      <c r="D6" s="48" t="s">
        <v>75</v>
      </c>
      <c r="E6" s="49">
        <f>MAX($B$19:$B$38)</f>
        <v>95</v>
      </c>
      <c r="F6" s="49"/>
      <c r="G6" s="41"/>
    </row>
    <row r="7" spans="1:12">
      <c r="A7" s="270"/>
      <c r="B7" s="46" t="s">
        <v>20</v>
      </c>
      <c r="C7" s="47" t="s">
        <v>76</v>
      </c>
      <c r="D7" s="48" t="s">
        <v>77</v>
      </c>
      <c r="E7" s="49">
        <f>AVERAGE($B$19:$B$38)</f>
        <v>68.75</v>
      </c>
      <c r="F7" s="49"/>
      <c r="G7" s="41"/>
      <c r="J7" t="s">
        <v>381</v>
      </c>
    </row>
    <row r="8" spans="1:12">
      <c r="A8" s="270"/>
      <c r="B8" s="46" t="s">
        <v>78</v>
      </c>
      <c r="C8" s="47" t="s">
        <v>79</v>
      </c>
      <c r="D8" s="48" t="s">
        <v>78</v>
      </c>
      <c r="E8" s="49">
        <f>MEDIAN($B$19:$B$38)</f>
        <v>67.5</v>
      </c>
      <c r="F8" s="49"/>
      <c r="G8" s="41"/>
      <c r="J8" s="268" t="s">
        <v>382</v>
      </c>
      <c r="L8" cm="1">
        <f t="array" ref="L8:L10">_xlfn.MODE.MULT(B19:B38)</f>
        <v>50</v>
      </c>
    </row>
    <row r="9" spans="1:12">
      <c r="A9" s="271"/>
      <c r="B9" s="46" t="s">
        <v>80</v>
      </c>
      <c r="C9" s="47" t="s">
        <v>81</v>
      </c>
      <c r="D9" s="48" t="s">
        <v>80</v>
      </c>
      <c r="E9" s="49">
        <f>MODE($B$19:$B$38)</f>
        <v>50</v>
      </c>
      <c r="F9" s="49"/>
      <c r="G9" s="41"/>
      <c r="L9">
        <v>65</v>
      </c>
    </row>
    <row r="10" spans="1:12">
      <c r="A10" s="272" t="s">
        <v>82</v>
      </c>
      <c r="B10" s="50" t="s">
        <v>83</v>
      </c>
      <c r="C10" s="51" t="s">
        <v>84</v>
      </c>
      <c r="D10" s="52" t="s">
        <v>85</v>
      </c>
      <c r="E10" s="53">
        <f>MAX($B$19:$B$38)-MIN($B$19:$B$38)</f>
        <v>65</v>
      </c>
      <c r="F10" s="50"/>
      <c r="G10" s="41"/>
      <c r="L10">
        <v>90</v>
      </c>
    </row>
    <row r="11" spans="1:12">
      <c r="A11" s="273"/>
      <c r="B11" s="50" t="s">
        <v>86</v>
      </c>
      <c r="C11" s="51" t="s">
        <v>87</v>
      </c>
      <c r="D11" s="52" t="s">
        <v>86</v>
      </c>
      <c r="E11" s="53">
        <f>STDEV($B$19:$B$38)</f>
        <v>18.200274723201296</v>
      </c>
      <c r="F11" s="50"/>
      <c r="G11" s="41"/>
    </row>
    <row r="12" spans="1:12" ht="26.25">
      <c r="A12" s="274" t="s">
        <v>88</v>
      </c>
      <c r="B12" s="54" t="s">
        <v>89</v>
      </c>
      <c r="C12" s="55" t="s">
        <v>90</v>
      </c>
      <c r="D12" s="56" t="s">
        <v>91</v>
      </c>
      <c r="E12" s="57">
        <f>PERCENTILE($B$19:$B$38,F12)</f>
        <v>67.5</v>
      </c>
      <c r="F12" s="54">
        <v>0.5</v>
      </c>
      <c r="G12" s="41"/>
      <c r="J12" s="268" t="s">
        <v>383</v>
      </c>
      <c r="L12">
        <f>_xlfn.QUARTILE.EXC(B19:B38,3)</f>
        <v>85</v>
      </c>
    </row>
    <row r="13" spans="1:12" ht="26.25">
      <c r="A13" s="275"/>
      <c r="B13" s="54" t="s">
        <v>92</v>
      </c>
      <c r="C13" s="55" t="s">
        <v>93</v>
      </c>
      <c r="D13" s="56" t="s">
        <v>94</v>
      </c>
      <c r="E13" s="58">
        <f>PERCENTRANK($B$19:$B$38,F13)</f>
        <v>0.105</v>
      </c>
      <c r="F13" s="59">
        <v>50</v>
      </c>
      <c r="G13" s="41"/>
    </row>
    <row r="14" spans="1:12">
      <c r="A14" s="275"/>
      <c r="B14" s="54" t="s">
        <v>95</v>
      </c>
      <c r="C14" s="55" t="s">
        <v>96</v>
      </c>
      <c r="D14" s="56" t="s">
        <v>97</v>
      </c>
      <c r="E14" s="57">
        <f>LARGE($B$19:$B$38,F14)</f>
        <v>90</v>
      </c>
      <c r="F14" s="54">
        <v>3</v>
      </c>
      <c r="G14" s="41"/>
    </row>
    <row r="15" spans="1:12">
      <c r="A15" s="275"/>
      <c r="B15" s="54" t="s">
        <v>98</v>
      </c>
      <c r="C15" s="55" t="s">
        <v>99</v>
      </c>
      <c r="D15" s="56" t="s">
        <v>100</v>
      </c>
      <c r="E15" s="57">
        <f>SMALL($B$19:$B$38,F15)</f>
        <v>50</v>
      </c>
      <c r="F15" s="54">
        <v>3</v>
      </c>
      <c r="G15" s="41"/>
      <c r="J15" s="268" t="s">
        <v>384</v>
      </c>
    </row>
    <row r="16" spans="1:12">
      <c r="A16" s="276"/>
      <c r="B16" s="54" t="s">
        <v>101</v>
      </c>
      <c r="C16" s="55" t="s">
        <v>102</v>
      </c>
      <c r="D16" s="60" t="s">
        <v>103</v>
      </c>
      <c r="E16" s="61">
        <f>RANK(F16,$B$19:$B$38,0)</f>
        <v>2</v>
      </c>
      <c r="F16" s="55">
        <v>90</v>
      </c>
      <c r="G16" s="41"/>
    </row>
    <row r="17" spans="1:7">
      <c r="A17" s="41"/>
      <c r="B17" s="41"/>
      <c r="C17" s="41"/>
      <c r="D17" s="41"/>
      <c r="E17" s="41"/>
      <c r="F17" s="41"/>
      <c r="G17" s="41"/>
    </row>
    <row r="18" spans="1:7">
      <c r="A18" s="62" t="s">
        <v>104</v>
      </c>
      <c r="B18" s="63" t="s">
        <v>105</v>
      </c>
      <c r="C18" s="41"/>
      <c r="D18" s="41"/>
      <c r="E18" s="41"/>
      <c r="F18" s="41"/>
      <c r="G18" s="41"/>
    </row>
    <row r="19" spans="1:7">
      <c r="A19" s="64">
        <v>1</v>
      </c>
      <c r="B19" s="65">
        <v>30</v>
      </c>
      <c r="C19" s="41"/>
      <c r="D19" s="41"/>
      <c r="E19" s="41"/>
      <c r="F19" s="41"/>
      <c r="G19" s="41"/>
    </row>
    <row r="20" spans="1:7">
      <c r="A20" s="64">
        <v>2</v>
      </c>
      <c r="B20" s="65">
        <v>45</v>
      </c>
      <c r="C20" s="41"/>
      <c r="D20" s="41"/>
      <c r="E20" s="41"/>
      <c r="F20" s="41"/>
      <c r="G20" s="41"/>
    </row>
    <row r="21" spans="1:7">
      <c r="A21" s="64">
        <v>3</v>
      </c>
      <c r="B21" s="65">
        <v>50</v>
      </c>
      <c r="C21" s="41"/>
      <c r="D21" s="41"/>
      <c r="E21" s="41"/>
      <c r="F21" s="41"/>
      <c r="G21" s="41"/>
    </row>
    <row r="22" spans="1:7">
      <c r="A22" s="64">
        <v>4</v>
      </c>
      <c r="B22" s="65">
        <v>50</v>
      </c>
      <c r="C22" s="41"/>
      <c r="D22" s="41"/>
      <c r="E22" s="41"/>
      <c r="F22" s="41"/>
      <c r="G22" s="41"/>
    </row>
    <row r="23" spans="1:7">
      <c r="A23" s="64">
        <v>5</v>
      </c>
      <c r="B23" s="65">
        <v>50</v>
      </c>
      <c r="C23" s="41"/>
      <c r="D23" s="41"/>
      <c r="E23" s="41"/>
      <c r="F23" s="41"/>
      <c r="G23" s="41"/>
    </row>
    <row r="24" spans="1:7">
      <c r="A24" s="64">
        <v>6</v>
      </c>
      <c r="B24" s="65">
        <v>55</v>
      </c>
      <c r="C24" s="41"/>
      <c r="D24" s="41"/>
      <c r="E24" s="41"/>
      <c r="F24" s="41"/>
      <c r="G24" s="41"/>
    </row>
    <row r="25" spans="1:7">
      <c r="A25" s="64">
        <v>7</v>
      </c>
      <c r="B25" s="65">
        <v>60</v>
      </c>
      <c r="C25" s="41"/>
      <c r="D25" s="41"/>
      <c r="E25" s="41"/>
      <c r="F25" s="41"/>
      <c r="G25" s="41"/>
    </row>
    <row r="26" spans="1:7">
      <c r="A26" s="64">
        <v>8</v>
      </c>
      <c r="B26" s="65">
        <v>65</v>
      </c>
      <c r="C26" s="41"/>
      <c r="D26" s="41"/>
      <c r="E26" s="41"/>
      <c r="F26" s="41"/>
      <c r="G26" s="41"/>
    </row>
    <row r="27" spans="1:7">
      <c r="A27" s="64">
        <v>9</v>
      </c>
      <c r="B27" s="65">
        <v>65</v>
      </c>
      <c r="C27" s="41"/>
      <c r="D27" s="41"/>
      <c r="E27" s="41"/>
      <c r="F27" s="41"/>
      <c r="G27" s="41"/>
    </row>
    <row r="28" spans="1:7">
      <c r="A28" s="64">
        <v>10</v>
      </c>
      <c r="B28" s="65">
        <v>65</v>
      </c>
      <c r="C28" s="41"/>
      <c r="D28" s="41"/>
      <c r="E28" s="41"/>
      <c r="F28" s="41"/>
      <c r="G28" s="41"/>
    </row>
    <row r="29" spans="1:7">
      <c r="A29" s="64">
        <v>11</v>
      </c>
      <c r="B29" s="65">
        <v>70</v>
      </c>
      <c r="C29" s="41"/>
      <c r="D29" s="41"/>
      <c r="E29" s="41"/>
      <c r="F29" s="41"/>
      <c r="G29" s="41"/>
    </row>
    <row r="30" spans="1:7">
      <c r="A30" s="64">
        <v>12</v>
      </c>
      <c r="B30" s="65">
        <v>75</v>
      </c>
      <c r="C30" s="41"/>
      <c r="D30" s="41"/>
      <c r="E30" s="41"/>
      <c r="F30" s="41"/>
      <c r="G30" s="41"/>
    </row>
    <row r="31" spans="1:7">
      <c r="A31" s="64">
        <v>13</v>
      </c>
      <c r="B31" s="65">
        <v>80</v>
      </c>
      <c r="C31" s="41"/>
      <c r="D31" s="41"/>
      <c r="E31" s="41"/>
      <c r="F31" s="41"/>
      <c r="G31" s="41"/>
    </row>
    <row r="32" spans="1:7">
      <c r="A32" s="64">
        <v>14</v>
      </c>
      <c r="B32" s="65">
        <v>80</v>
      </c>
      <c r="C32" s="41"/>
      <c r="D32" s="41"/>
      <c r="E32" s="41"/>
      <c r="F32" s="41"/>
      <c r="G32" s="41"/>
    </row>
    <row r="33" spans="1:7">
      <c r="A33" s="64">
        <v>15</v>
      </c>
      <c r="B33" s="65">
        <v>85</v>
      </c>
      <c r="C33" s="41"/>
      <c r="D33" s="41"/>
      <c r="E33" s="41"/>
      <c r="F33" s="41"/>
      <c r="G33" s="41"/>
    </row>
    <row r="34" spans="1:7">
      <c r="A34" s="64">
        <v>16</v>
      </c>
      <c r="B34" s="65">
        <v>85</v>
      </c>
      <c r="C34" s="41"/>
      <c r="D34" s="41"/>
      <c r="E34" s="41"/>
      <c r="F34" s="41"/>
      <c r="G34" s="41"/>
    </row>
    <row r="35" spans="1:7">
      <c r="A35" s="64">
        <v>17</v>
      </c>
      <c r="B35" s="65">
        <v>90</v>
      </c>
      <c r="C35" s="41"/>
      <c r="D35" s="41"/>
      <c r="E35" s="41"/>
      <c r="F35" s="41"/>
      <c r="G35" s="41"/>
    </row>
    <row r="36" spans="1:7">
      <c r="A36" s="64">
        <v>18</v>
      </c>
      <c r="B36" s="65">
        <v>90</v>
      </c>
      <c r="C36" s="41"/>
      <c r="D36" s="41"/>
      <c r="E36" s="41"/>
      <c r="F36" s="41"/>
      <c r="G36" s="41"/>
    </row>
    <row r="37" spans="1:7">
      <c r="A37" s="64">
        <v>19</v>
      </c>
      <c r="B37" s="65">
        <v>90</v>
      </c>
      <c r="C37" s="41"/>
      <c r="D37" s="41"/>
      <c r="E37" s="41"/>
      <c r="F37" s="41"/>
      <c r="G37" s="41"/>
    </row>
    <row r="38" spans="1:7">
      <c r="A38" s="64">
        <v>20</v>
      </c>
      <c r="B38" s="65">
        <v>95</v>
      </c>
      <c r="C38" s="41"/>
      <c r="D38" s="41"/>
      <c r="E38" s="41"/>
      <c r="F38" s="41"/>
      <c r="G38" s="41"/>
    </row>
  </sheetData>
  <mergeCells count="3">
    <mergeCell ref="A5:A9"/>
    <mergeCell ref="A10:A11"/>
    <mergeCell ref="A12:A1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2" tint="-0.249977111117893"/>
  </sheetPr>
  <dimension ref="A1:D21"/>
  <sheetViews>
    <sheetView workbookViewId="0">
      <selection activeCell="D2" sqref="D2"/>
    </sheetView>
  </sheetViews>
  <sheetFormatPr defaultRowHeight="15"/>
  <sheetData>
    <row r="1" spans="1:4">
      <c r="B1" s="62" t="s">
        <v>104</v>
      </c>
      <c r="C1" s="63" t="s">
        <v>105</v>
      </c>
    </row>
    <row r="2" spans="1:4">
      <c r="A2" t="s">
        <v>108</v>
      </c>
      <c r="B2" s="64">
        <v>1</v>
      </c>
      <c r="C2" s="65">
        <v>30</v>
      </c>
      <c r="D2">
        <v>0.20300912503433333</v>
      </c>
    </row>
    <row r="3" spans="1:4">
      <c r="A3" t="s">
        <v>109</v>
      </c>
      <c r="B3" s="64">
        <v>2</v>
      </c>
      <c r="C3" s="65">
        <v>45</v>
      </c>
      <c r="D3">
        <v>0.16885891293069247</v>
      </c>
    </row>
    <row r="4" spans="1:4">
      <c r="A4" t="s">
        <v>110</v>
      </c>
      <c r="B4" s="64">
        <v>3</v>
      </c>
      <c r="C4" s="65">
        <v>50</v>
      </c>
      <c r="D4">
        <v>0.94088564714499345</v>
      </c>
    </row>
    <row r="5" spans="1:4">
      <c r="A5" t="s">
        <v>111</v>
      </c>
      <c r="B5" s="64">
        <v>4</v>
      </c>
      <c r="C5" s="65">
        <v>50</v>
      </c>
      <c r="D5">
        <v>0.79161961729789121</v>
      </c>
    </row>
    <row r="6" spans="1:4">
      <c r="A6" t="s">
        <v>112</v>
      </c>
      <c r="B6" s="64">
        <v>5</v>
      </c>
      <c r="C6" s="65">
        <v>50</v>
      </c>
      <c r="D6">
        <v>0.71330912198248242</v>
      </c>
    </row>
    <row r="7" spans="1:4">
      <c r="A7" t="s">
        <v>113</v>
      </c>
      <c r="B7" s="64">
        <v>6</v>
      </c>
      <c r="C7" s="65">
        <v>55</v>
      </c>
      <c r="D7">
        <v>0.10406811731315042</v>
      </c>
    </row>
    <row r="8" spans="1:4">
      <c r="A8" t="s">
        <v>114</v>
      </c>
      <c r="B8" s="64">
        <v>7</v>
      </c>
      <c r="C8" s="65">
        <v>60</v>
      </c>
      <c r="D8">
        <v>0.23126926480910673</v>
      </c>
    </row>
    <row r="9" spans="1:4">
      <c r="A9" t="s">
        <v>115</v>
      </c>
      <c r="B9" s="64">
        <v>8</v>
      </c>
      <c r="C9" s="65">
        <v>65</v>
      </c>
      <c r="D9">
        <v>0.14972380748924222</v>
      </c>
    </row>
    <row r="10" spans="1:4">
      <c r="A10" t="s">
        <v>116</v>
      </c>
      <c r="B10" s="64">
        <v>9</v>
      </c>
      <c r="C10" s="65">
        <v>65</v>
      </c>
      <c r="D10">
        <v>0.39790032654805141</v>
      </c>
    </row>
    <row r="11" spans="1:4">
      <c r="A11" t="s">
        <v>117</v>
      </c>
      <c r="B11" s="64">
        <v>10</v>
      </c>
      <c r="C11" s="65">
        <v>65</v>
      </c>
      <c r="D11">
        <v>0.43131809442426833</v>
      </c>
    </row>
    <row r="12" spans="1:4">
      <c r="A12" t="s">
        <v>118</v>
      </c>
      <c r="B12" s="64">
        <v>11</v>
      </c>
      <c r="C12" s="65">
        <v>70</v>
      </c>
      <c r="D12">
        <v>0.1315958128604999</v>
      </c>
    </row>
    <row r="13" spans="1:4">
      <c r="A13" t="s">
        <v>119</v>
      </c>
      <c r="B13" s="64">
        <v>12</v>
      </c>
      <c r="C13" s="65">
        <v>75</v>
      </c>
      <c r="D13">
        <v>0.72631000701925719</v>
      </c>
    </row>
    <row r="14" spans="1:4">
      <c r="A14" t="s">
        <v>120</v>
      </c>
      <c r="B14" s="64">
        <v>13</v>
      </c>
      <c r="C14" s="65">
        <v>80</v>
      </c>
      <c r="D14">
        <v>6.4180425428022089E-2</v>
      </c>
    </row>
    <row r="15" spans="1:4">
      <c r="A15" t="s">
        <v>121</v>
      </c>
      <c r="B15" s="64">
        <v>14</v>
      </c>
      <c r="C15" s="65">
        <v>80</v>
      </c>
      <c r="D15">
        <v>0.55922116763817253</v>
      </c>
    </row>
    <row r="16" spans="1:4">
      <c r="A16" t="s">
        <v>122</v>
      </c>
      <c r="B16" s="64">
        <v>15</v>
      </c>
      <c r="C16" s="65">
        <v>85</v>
      </c>
      <c r="D16">
        <v>0.42435987426374094</v>
      </c>
    </row>
    <row r="17" spans="1:4">
      <c r="A17" t="s">
        <v>123</v>
      </c>
      <c r="B17" s="64">
        <v>16</v>
      </c>
      <c r="C17" s="65">
        <v>85</v>
      </c>
      <c r="D17">
        <v>0.6488235114597003</v>
      </c>
    </row>
    <row r="18" spans="1:4">
      <c r="A18" t="s">
        <v>124</v>
      </c>
      <c r="B18" s="64">
        <v>17</v>
      </c>
      <c r="C18" s="65">
        <v>90</v>
      </c>
      <c r="D18">
        <v>0.40403454695272684</v>
      </c>
    </row>
    <row r="19" spans="1:4">
      <c r="A19" t="s">
        <v>108</v>
      </c>
      <c r="B19" s="64">
        <v>18</v>
      </c>
      <c r="C19" s="65">
        <v>90</v>
      </c>
      <c r="D19">
        <v>0.6879177220984527</v>
      </c>
    </row>
    <row r="20" spans="1:4">
      <c r="A20" t="s">
        <v>109</v>
      </c>
      <c r="B20" s="64">
        <v>19</v>
      </c>
      <c r="C20" s="65">
        <v>90</v>
      </c>
      <c r="D20">
        <v>0.18143253883480331</v>
      </c>
    </row>
    <row r="21" spans="1:4">
      <c r="A21" t="s">
        <v>110</v>
      </c>
      <c r="B21" s="64">
        <v>20</v>
      </c>
      <c r="C21" s="65">
        <v>95</v>
      </c>
      <c r="D21">
        <v>0.18445387127292703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6" tint="-0.249977111117893"/>
  </sheetPr>
  <dimension ref="A1:O36"/>
  <sheetViews>
    <sheetView showGridLines="0" zoomScale="70" zoomScaleNormal="70" workbookViewId="0">
      <selection activeCell="N47" sqref="N47"/>
    </sheetView>
  </sheetViews>
  <sheetFormatPr defaultColWidth="9.140625" defaultRowHeight="12.75"/>
  <cols>
    <col min="1" max="1" width="31.42578125" style="71" customWidth="1"/>
    <col min="2" max="2" width="9.140625" style="71"/>
    <col min="3" max="6" width="13" style="181" customWidth="1"/>
    <col min="7" max="7" width="12.7109375" style="71" customWidth="1"/>
    <col min="8" max="8" width="9.140625" style="71"/>
    <col min="9" max="9" width="12" style="71" customWidth="1"/>
    <col min="10" max="10" width="11.5703125" style="71" customWidth="1"/>
    <col min="11" max="16384" width="9.140625" style="71"/>
  </cols>
  <sheetData>
    <row r="1" spans="1:15" ht="15.75">
      <c r="A1" s="180" t="s">
        <v>182</v>
      </c>
    </row>
    <row r="3" spans="1:15" ht="38.25" customHeight="1">
      <c r="A3" s="278" t="s">
        <v>183</v>
      </c>
      <c r="B3" s="278"/>
      <c r="C3" s="278"/>
      <c r="D3" s="278"/>
      <c r="E3" s="278"/>
      <c r="F3" s="278"/>
      <c r="G3" s="278"/>
      <c r="H3" s="278"/>
      <c r="I3" s="278"/>
    </row>
    <row r="4" spans="1:15" ht="12.75" customHeight="1">
      <c r="A4" s="279" t="s">
        <v>184</v>
      </c>
      <c r="B4" s="279"/>
      <c r="C4" s="279"/>
      <c r="D4" s="279"/>
      <c r="E4" s="279"/>
      <c r="F4" s="279"/>
      <c r="G4" s="279"/>
      <c r="H4" s="279"/>
      <c r="I4" s="279"/>
    </row>
    <row r="5" spans="1:15">
      <c r="A5" s="280" t="s">
        <v>185</v>
      </c>
      <c r="B5" s="280"/>
      <c r="C5" s="280"/>
      <c r="D5" s="280"/>
      <c r="E5" s="280"/>
      <c r="F5" s="280"/>
      <c r="G5" s="280"/>
      <c r="H5" s="280"/>
      <c r="I5" s="280"/>
    </row>
    <row r="6" spans="1:15">
      <c r="A6" s="182"/>
      <c r="B6" s="182"/>
      <c r="C6" s="182"/>
      <c r="D6" s="182"/>
      <c r="E6" s="182"/>
      <c r="F6" s="182"/>
      <c r="G6" s="182"/>
      <c r="H6" s="182"/>
      <c r="I6" s="182"/>
    </row>
    <row r="7" spans="1:15" ht="15">
      <c r="A7" s="183" t="s">
        <v>186</v>
      </c>
      <c r="B7" s="184"/>
      <c r="C7" s="185"/>
      <c r="D7" s="182"/>
      <c r="E7" s="182"/>
      <c r="F7" s="182"/>
      <c r="G7" s="182"/>
      <c r="H7" s="182"/>
      <c r="I7" s="182"/>
    </row>
    <row r="8" spans="1:15" ht="13.5" thickBot="1"/>
    <row r="9" spans="1:15" ht="13.5" thickBot="1">
      <c r="C9" s="281" t="s">
        <v>63</v>
      </c>
      <c r="D9" s="282"/>
      <c r="E9" s="282"/>
      <c r="F9" s="283"/>
    </row>
    <row r="10" spans="1:15" ht="25.5">
      <c r="A10" s="284" t="s">
        <v>187</v>
      </c>
      <c r="B10" s="284"/>
      <c r="C10" s="186" t="s">
        <v>188</v>
      </c>
      <c r="D10" s="186" t="s">
        <v>189</v>
      </c>
      <c r="E10" s="186" t="s">
        <v>190</v>
      </c>
      <c r="F10" s="187" t="s">
        <v>191</v>
      </c>
      <c r="G10" s="188" t="s">
        <v>192</v>
      </c>
      <c r="H10" s="189" t="s">
        <v>193</v>
      </c>
      <c r="I10" s="190" t="s">
        <v>194</v>
      </c>
      <c r="K10" s="191" t="s">
        <v>195</v>
      </c>
      <c r="L10" s="191" t="s">
        <v>101</v>
      </c>
    </row>
    <row r="11" spans="1:15" ht="15">
      <c r="A11" s="192" t="s">
        <v>196</v>
      </c>
      <c r="B11" s="192" t="s">
        <v>197</v>
      </c>
      <c r="C11" s="193">
        <v>1</v>
      </c>
      <c r="D11" s="193"/>
      <c r="E11" s="193"/>
      <c r="F11" s="193"/>
      <c r="G11" s="194">
        <v>24</v>
      </c>
      <c r="H11" s="195">
        <v>0</v>
      </c>
      <c r="I11" s="196">
        <v>1.1000000000000001</v>
      </c>
      <c r="K11" s="197">
        <f>G11/I11</f>
        <v>21.818181818181817</v>
      </c>
      <c r="L11" s="71">
        <f>RANK(K11,$K$11:$K$30)</f>
        <v>10</v>
      </c>
      <c r="O11" s="198"/>
    </row>
    <row r="12" spans="1:15" ht="15">
      <c r="A12" s="192" t="s">
        <v>198</v>
      </c>
      <c r="B12" s="192" t="s">
        <v>199</v>
      </c>
      <c r="C12" s="193">
        <v>1</v>
      </c>
      <c r="D12" s="193"/>
      <c r="E12" s="193"/>
      <c r="F12" s="193"/>
      <c r="G12" s="194">
        <v>70</v>
      </c>
      <c r="H12" s="195">
        <v>0</v>
      </c>
      <c r="I12" s="196">
        <v>3.8</v>
      </c>
      <c r="K12" s="197">
        <f t="shared" ref="K12:K30" si="0">G12/I12</f>
        <v>18.421052631578949</v>
      </c>
      <c r="L12" s="71">
        <f t="shared" ref="L12:L30" si="1">RANK(K12,$K$11:$K$30)</f>
        <v>17</v>
      </c>
      <c r="O12" s="198"/>
    </row>
    <row r="13" spans="1:15" ht="15">
      <c r="A13" s="192" t="s">
        <v>200</v>
      </c>
      <c r="B13" s="192" t="s">
        <v>201</v>
      </c>
      <c r="C13" s="193">
        <v>1</v>
      </c>
      <c r="D13" s="193"/>
      <c r="E13" s="193"/>
      <c r="F13" s="193"/>
      <c r="G13" s="194">
        <v>21</v>
      </c>
      <c r="H13" s="195">
        <v>0</v>
      </c>
      <c r="I13" s="196">
        <v>1.2</v>
      </c>
      <c r="K13" s="197">
        <f t="shared" si="0"/>
        <v>17.5</v>
      </c>
      <c r="L13" s="71">
        <f t="shared" si="1"/>
        <v>18</v>
      </c>
      <c r="O13" s="198"/>
    </row>
    <row r="14" spans="1:15" ht="15">
      <c r="A14" s="192" t="s">
        <v>202</v>
      </c>
      <c r="B14" s="192" t="s">
        <v>203</v>
      </c>
      <c r="C14" s="193">
        <v>1</v>
      </c>
      <c r="D14" s="193"/>
      <c r="E14" s="193"/>
      <c r="F14" s="193"/>
      <c r="G14" s="194">
        <v>32</v>
      </c>
      <c r="H14" s="195">
        <v>0</v>
      </c>
      <c r="I14" s="196">
        <v>1.5</v>
      </c>
      <c r="K14" s="197">
        <f t="shared" si="0"/>
        <v>21.333333333333332</v>
      </c>
      <c r="L14" s="71">
        <f t="shared" si="1"/>
        <v>11</v>
      </c>
      <c r="O14" s="198"/>
    </row>
    <row r="15" spans="1:15" ht="15">
      <c r="A15" s="192" t="s">
        <v>204</v>
      </c>
      <c r="B15" s="192" t="s">
        <v>205</v>
      </c>
      <c r="C15" s="193">
        <v>1</v>
      </c>
      <c r="D15" s="193"/>
      <c r="E15" s="193"/>
      <c r="F15" s="193"/>
      <c r="G15" s="194">
        <v>17</v>
      </c>
      <c r="H15" s="195">
        <v>0</v>
      </c>
      <c r="I15" s="196">
        <v>0.8</v>
      </c>
      <c r="K15" s="197">
        <f t="shared" si="0"/>
        <v>21.25</v>
      </c>
      <c r="L15" s="71">
        <f t="shared" si="1"/>
        <v>12</v>
      </c>
      <c r="O15" s="198"/>
    </row>
    <row r="16" spans="1:15" ht="15">
      <c r="A16" s="192" t="s">
        <v>206</v>
      </c>
      <c r="B16" s="192" t="s">
        <v>207</v>
      </c>
      <c r="C16" s="193"/>
      <c r="D16" s="193">
        <v>1</v>
      </c>
      <c r="E16" s="193">
        <v>1</v>
      </c>
      <c r="F16" s="193"/>
      <c r="G16" s="194">
        <v>85</v>
      </c>
      <c r="H16" s="195">
        <v>0</v>
      </c>
      <c r="I16" s="196">
        <v>4.0999999999999996</v>
      </c>
      <c r="K16" s="197">
        <f t="shared" si="0"/>
        <v>20.731707317073173</v>
      </c>
      <c r="L16" s="71">
        <f t="shared" si="1"/>
        <v>14</v>
      </c>
      <c r="O16" s="198"/>
    </row>
    <row r="17" spans="1:15" ht="15">
      <c r="A17" s="192" t="s">
        <v>208</v>
      </c>
      <c r="B17" s="192" t="s">
        <v>209</v>
      </c>
      <c r="C17" s="193"/>
      <c r="D17" s="193">
        <v>1</v>
      </c>
      <c r="E17" s="193">
        <v>1</v>
      </c>
      <c r="F17" s="193"/>
      <c r="G17" s="194">
        <v>61</v>
      </c>
      <c r="H17" s="195">
        <v>0</v>
      </c>
      <c r="I17" s="196">
        <v>1.8</v>
      </c>
      <c r="K17" s="197">
        <f t="shared" si="0"/>
        <v>33.888888888888886</v>
      </c>
      <c r="L17" s="71">
        <f t="shared" si="1"/>
        <v>5</v>
      </c>
      <c r="O17" s="198"/>
    </row>
    <row r="18" spans="1:15" ht="15">
      <c r="A18" s="192" t="s">
        <v>210</v>
      </c>
      <c r="B18" s="192" t="s">
        <v>211</v>
      </c>
      <c r="C18" s="193"/>
      <c r="D18" s="193">
        <v>1</v>
      </c>
      <c r="E18" s="193">
        <v>1</v>
      </c>
      <c r="F18" s="193"/>
      <c r="G18" s="194">
        <v>39</v>
      </c>
      <c r="H18" s="195">
        <v>0</v>
      </c>
      <c r="I18" s="196">
        <v>1.3</v>
      </c>
      <c r="K18" s="197">
        <f t="shared" si="0"/>
        <v>30</v>
      </c>
      <c r="L18" s="71">
        <f t="shared" si="1"/>
        <v>7</v>
      </c>
      <c r="O18" s="198"/>
    </row>
    <row r="19" spans="1:15" ht="15">
      <c r="A19" s="192" t="s">
        <v>212</v>
      </c>
      <c r="B19" s="192" t="s">
        <v>213</v>
      </c>
      <c r="C19" s="193"/>
      <c r="D19" s="193">
        <v>1</v>
      </c>
      <c r="E19" s="193"/>
      <c r="F19" s="193">
        <v>1</v>
      </c>
      <c r="G19" s="194">
        <v>79</v>
      </c>
      <c r="H19" s="195">
        <v>0</v>
      </c>
      <c r="I19" s="196">
        <v>2.6</v>
      </c>
      <c r="K19" s="197">
        <f t="shared" si="0"/>
        <v>30.384615384615383</v>
      </c>
      <c r="L19" s="71">
        <f t="shared" si="1"/>
        <v>6</v>
      </c>
      <c r="O19" s="198"/>
    </row>
    <row r="20" spans="1:15" ht="15">
      <c r="A20" s="192" t="s">
        <v>214</v>
      </c>
      <c r="B20" s="192" t="s">
        <v>215</v>
      </c>
      <c r="C20" s="193"/>
      <c r="D20" s="193"/>
      <c r="E20" s="193">
        <v>1</v>
      </c>
      <c r="F20" s="193"/>
      <c r="G20" s="194">
        <v>76</v>
      </c>
      <c r="H20" s="195">
        <v>0</v>
      </c>
      <c r="I20" s="196">
        <v>3.6</v>
      </c>
      <c r="K20" s="197">
        <f t="shared" si="0"/>
        <v>21.111111111111111</v>
      </c>
      <c r="L20" s="71">
        <f t="shared" si="1"/>
        <v>13</v>
      </c>
      <c r="O20" s="198"/>
    </row>
    <row r="21" spans="1:15" ht="15">
      <c r="A21" s="192" t="s">
        <v>216</v>
      </c>
      <c r="B21" s="192" t="s">
        <v>217</v>
      </c>
      <c r="C21" s="193"/>
      <c r="D21" s="193"/>
      <c r="E21" s="193">
        <v>1</v>
      </c>
      <c r="F21" s="193"/>
      <c r="G21" s="194">
        <v>31</v>
      </c>
      <c r="H21" s="195">
        <v>0</v>
      </c>
      <c r="I21" s="196">
        <v>1.5</v>
      </c>
      <c r="K21" s="197">
        <f t="shared" si="0"/>
        <v>20.666666666666668</v>
      </c>
      <c r="L21" s="71">
        <f t="shared" si="1"/>
        <v>15</v>
      </c>
      <c r="O21" s="198"/>
    </row>
    <row r="22" spans="1:15" ht="15">
      <c r="A22" s="192" t="s">
        <v>218</v>
      </c>
      <c r="B22" s="192" t="s">
        <v>219</v>
      </c>
      <c r="C22" s="193"/>
      <c r="D22" s="193"/>
      <c r="E22" s="193">
        <v>1</v>
      </c>
      <c r="F22" s="193"/>
      <c r="G22" s="194">
        <v>93</v>
      </c>
      <c r="H22" s="195">
        <v>0</v>
      </c>
      <c r="I22" s="196">
        <v>4.8</v>
      </c>
      <c r="K22" s="197">
        <f t="shared" si="0"/>
        <v>19.375</v>
      </c>
      <c r="L22" s="71">
        <f t="shared" si="1"/>
        <v>16</v>
      </c>
      <c r="O22" s="198"/>
    </row>
    <row r="23" spans="1:15" ht="15">
      <c r="A23" s="192" t="s">
        <v>220</v>
      </c>
      <c r="B23" s="192" t="s">
        <v>221</v>
      </c>
      <c r="C23" s="193"/>
      <c r="D23" s="193"/>
      <c r="E23" s="193">
        <v>1</v>
      </c>
      <c r="F23" s="193"/>
      <c r="G23" s="194">
        <v>28.999999999999996</v>
      </c>
      <c r="H23" s="195">
        <v>0</v>
      </c>
      <c r="I23" s="196">
        <v>0.8</v>
      </c>
      <c r="K23" s="197">
        <f t="shared" si="0"/>
        <v>36.249999999999993</v>
      </c>
      <c r="L23" s="71">
        <f t="shared" si="1"/>
        <v>3</v>
      </c>
      <c r="O23" s="198"/>
    </row>
    <row r="24" spans="1:15" ht="15">
      <c r="A24" s="192" t="s">
        <v>222</v>
      </c>
      <c r="B24" s="192" t="s">
        <v>223</v>
      </c>
      <c r="C24" s="193"/>
      <c r="D24" s="193"/>
      <c r="E24" s="193">
        <v>1</v>
      </c>
      <c r="F24" s="193"/>
      <c r="G24" s="194">
        <v>78</v>
      </c>
      <c r="H24" s="195">
        <v>0</v>
      </c>
      <c r="I24" s="196">
        <v>2.7</v>
      </c>
      <c r="K24" s="197">
        <f t="shared" si="0"/>
        <v>28.888888888888886</v>
      </c>
      <c r="L24" s="71">
        <f t="shared" si="1"/>
        <v>8</v>
      </c>
      <c r="O24" s="198"/>
    </row>
    <row r="25" spans="1:15" ht="15">
      <c r="A25" s="192" t="s">
        <v>224</v>
      </c>
      <c r="B25" s="192" t="s">
        <v>225</v>
      </c>
      <c r="C25" s="193"/>
      <c r="D25" s="193"/>
      <c r="E25" s="193">
        <v>1</v>
      </c>
      <c r="F25" s="193"/>
      <c r="G25" s="194">
        <v>51</v>
      </c>
      <c r="H25" s="195">
        <v>0</v>
      </c>
      <c r="I25" s="196">
        <v>1.4</v>
      </c>
      <c r="K25" s="197">
        <f t="shared" si="0"/>
        <v>36.428571428571431</v>
      </c>
      <c r="L25" s="71">
        <f t="shared" si="1"/>
        <v>2</v>
      </c>
      <c r="O25" s="198"/>
    </row>
    <row r="26" spans="1:15" ht="15">
      <c r="A26" s="192" t="s">
        <v>226</v>
      </c>
      <c r="B26" s="192" t="s">
        <v>227</v>
      </c>
      <c r="C26" s="193"/>
      <c r="D26" s="193"/>
      <c r="E26" s="193">
        <v>1</v>
      </c>
      <c r="F26" s="193"/>
      <c r="G26" s="194">
        <v>42</v>
      </c>
      <c r="H26" s="195">
        <v>0</v>
      </c>
      <c r="I26" s="196">
        <v>0.8</v>
      </c>
      <c r="K26" s="197">
        <f t="shared" si="0"/>
        <v>52.5</v>
      </c>
      <c r="L26" s="71">
        <f t="shared" si="1"/>
        <v>1</v>
      </c>
      <c r="O26" s="198"/>
    </row>
    <row r="27" spans="1:15" ht="15">
      <c r="A27" s="192" t="s">
        <v>228</v>
      </c>
      <c r="B27" s="192" t="s">
        <v>229</v>
      </c>
      <c r="C27" s="193"/>
      <c r="D27" s="193"/>
      <c r="E27" s="193"/>
      <c r="F27" s="193">
        <v>1</v>
      </c>
      <c r="G27" s="194">
        <v>81</v>
      </c>
      <c r="H27" s="195">
        <v>0</v>
      </c>
      <c r="I27" s="196">
        <v>3.1</v>
      </c>
      <c r="K27" s="197">
        <f t="shared" si="0"/>
        <v>26.129032258064516</v>
      </c>
      <c r="L27" s="71">
        <f t="shared" si="1"/>
        <v>9</v>
      </c>
      <c r="O27" s="198"/>
    </row>
    <row r="28" spans="1:15" ht="15">
      <c r="A28" s="192" t="s">
        <v>230</v>
      </c>
      <c r="B28" s="192" t="s">
        <v>231</v>
      </c>
      <c r="C28" s="193"/>
      <c r="D28" s="193"/>
      <c r="E28" s="193"/>
      <c r="F28" s="193">
        <v>1</v>
      </c>
      <c r="G28" s="194">
        <v>88</v>
      </c>
      <c r="H28" s="195">
        <v>0</v>
      </c>
      <c r="I28" s="196">
        <v>5.0999999999999996</v>
      </c>
      <c r="K28" s="197">
        <f t="shared" si="0"/>
        <v>17.254901960784316</v>
      </c>
      <c r="L28" s="71">
        <f t="shared" si="1"/>
        <v>20</v>
      </c>
      <c r="O28" s="198"/>
    </row>
    <row r="29" spans="1:15" ht="15">
      <c r="A29" s="192" t="s">
        <v>232</v>
      </c>
      <c r="B29" s="192" t="s">
        <v>233</v>
      </c>
      <c r="C29" s="193"/>
      <c r="D29" s="193"/>
      <c r="E29" s="193"/>
      <c r="F29" s="193">
        <v>1</v>
      </c>
      <c r="G29" s="194">
        <v>18</v>
      </c>
      <c r="H29" s="195">
        <v>0</v>
      </c>
      <c r="I29" s="196">
        <v>0.5</v>
      </c>
      <c r="K29" s="197">
        <f t="shared" si="0"/>
        <v>36</v>
      </c>
      <c r="L29" s="71">
        <f t="shared" si="1"/>
        <v>4</v>
      </c>
      <c r="O29" s="198"/>
    </row>
    <row r="30" spans="1:15" ht="15">
      <c r="A30" s="192" t="s">
        <v>234</v>
      </c>
      <c r="B30" s="192" t="s">
        <v>235</v>
      </c>
      <c r="C30" s="193"/>
      <c r="D30" s="193"/>
      <c r="E30" s="193"/>
      <c r="F30" s="193">
        <v>1</v>
      </c>
      <c r="G30" s="194">
        <v>26</v>
      </c>
      <c r="H30" s="195">
        <v>0</v>
      </c>
      <c r="I30" s="196">
        <v>1.5</v>
      </c>
      <c r="K30" s="197">
        <f t="shared" si="0"/>
        <v>17.333333333333332</v>
      </c>
      <c r="L30" s="71">
        <f t="shared" si="1"/>
        <v>19</v>
      </c>
      <c r="O30" s="198"/>
    </row>
    <row r="31" spans="1:15" ht="13.5" thickBot="1"/>
    <row r="32" spans="1:15" ht="13.5" thickBot="1">
      <c r="A32" s="71" t="s">
        <v>236</v>
      </c>
      <c r="C32" s="181">
        <f>SUMPRODUCT(C11:C30,$H$11:$H$30)</f>
        <v>0</v>
      </c>
      <c r="D32" s="181">
        <f t="shared" ref="D32:F32" si="2">SUMPRODUCT(D11:D30,$H$11:$H$30)</f>
        <v>0</v>
      </c>
      <c r="E32" s="181">
        <f t="shared" si="2"/>
        <v>0</v>
      </c>
      <c r="F32" s="181">
        <f t="shared" si="2"/>
        <v>0</v>
      </c>
      <c r="H32" s="181">
        <f>SUM(Build?)</f>
        <v>0</v>
      </c>
      <c r="I32" s="199">
        <f>SUMPRODUCT(I11:I30,$H$11:$H$30)</f>
        <v>0</v>
      </c>
      <c r="J32" s="71" t="s">
        <v>237</v>
      </c>
    </row>
    <row r="33" spans="1:10">
      <c r="C33" s="181" t="s">
        <v>180</v>
      </c>
      <c r="D33" s="181" t="s">
        <v>180</v>
      </c>
      <c r="E33" s="181" t="s">
        <v>180</v>
      </c>
      <c r="F33" s="181" t="s">
        <v>180</v>
      </c>
      <c r="I33" s="189" t="s">
        <v>179</v>
      </c>
    </row>
    <row r="34" spans="1:10">
      <c r="A34" s="71" t="s">
        <v>238</v>
      </c>
      <c r="C34" s="181">
        <v>2</v>
      </c>
      <c r="D34" s="181">
        <v>2</v>
      </c>
      <c r="E34" s="181">
        <v>2</v>
      </c>
      <c r="F34" s="181">
        <v>2</v>
      </c>
      <c r="I34" s="200">
        <v>10</v>
      </c>
      <c r="J34" s="71" t="s">
        <v>239</v>
      </c>
    </row>
    <row r="35" spans="1:10" ht="13.5" thickBot="1"/>
    <row r="36" spans="1:10" ht="13.5" thickBot="1">
      <c r="F36" s="201" t="s">
        <v>240</v>
      </c>
      <c r="G36" s="202">
        <f>SUMPRODUCT(G11:G30,Build?)</f>
        <v>0</v>
      </c>
    </row>
  </sheetData>
  <mergeCells count="5">
    <mergeCell ref="A3:I3"/>
    <mergeCell ref="A4:I4"/>
    <mergeCell ref="A5:I5"/>
    <mergeCell ref="C9:F9"/>
    <mergeCell ref="A10:B10"/>
  </mergeCells>
  <conditionalFormatting sqref="A11:B30 H11:H30 K11:L30">
    <cfRule type="expression" dxfId="7" priority="1">
      <formula>ROUND($H11,0)=1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indexed="11"/>
  </sheetPr>
  <dimension ref="A1:L54"/>
  <sheetViews>
    <sheetView showGridLines="0" zoomScale="130" zoomScaleNormal="130" workbookViewId="0">
      <selection activeCell="C29" sqref="C29"/>
    </sheetView>
  </sheetViews>
  <sheetFormatPr defaultColWidth="9.140625" defaultRowHeight="12.75"/>
  <cols>
    <col min="1" max="1" width="12.42578125" style="136" customWidth="1"/>
    <col min="2" max="2" width="9.140625" style="136"/>
    <col min="3" max="3" width="13.5703125" style="136" bestFit="1" customWidth="1"/>
    <col min="4" max="4" width="12" style="136" bestFit="1" customWidth="1"/>
    <col min="5" max="5" width="13.5703125" style="136" bestFit="1" customWidth="1"/>
    <col min="6" max="6" width="12.85546875" style="136" customWidth="1"/>
    <col min="7" max="7" width="9.140625" style="136"/>
    <col min="8" max="8" width="10.85546875" style="136" bestFit="1" customWidth="1"/>
    <col min="9" max="9" width="21.85546875" style="136" bestFit="1" customWidth="1"/>
    <col min="10" max="16384" width="9.140625" style="136"/>
  </cols>
  <sheetData>
    <row r="1" spans="1:12" ht="18">
      <c r="A1" s="160" t="s">
        <v>178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12">
      <c r="A2" s="137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</row>
    <row r="3" spans="1:12">
      <c r="A3" s="137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</row>
    <row r="4" spans="1:12">
      <c r="A4" s="137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</row>
    <row r="5" spans="1:12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</row>
    <row r="6" spans="1:12">
      <c r="A6" s="137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</row>
    <row r="7" spans="1:12">
      <c r="A7" s="137"/>
      <c r="B7" s="137"/>
      <c r="C7" s="285" t="s">
        <v>177</v>
      </c>
      <c r="D7" s="285"/>
      <c r="E7" s="285" t="s">
        <v>176</v>
      </c>
      <c r="F7" s="285"/>
      <c r="G7" s="137"/>
      <c r="H7" s="147" t="s">
        <v>175</v>
      </c>
      <c r="I7" s="147" t="s">
        <v>174</v>
      </c>
      <c r="J7" s="137"/>
      <c r="K7" s="137"/>
      <c r="L7" s="137"/>
    </row>
    <row r="8" spans="1:12">
      <c r="A8" s="137"/>
      <c r="B8" s="157" t="s">
        <v>166</v>
      </c>
      <c r="C8" s="157" t="s">
        <v>173</v>
      </c>
      <c r="D8" s="157" t="s">
        <v>172</v>
      </c>
      <c r="E8" s="157" t="s">
        <v>171</v>
      </c>
      <c r="F8" s="157" t="s">
        <v>170</v>
      </c>
      <c r="G8" s="137"/>
      <c r="H8" s="147" t="s">
        <v>169</v>
      </c>
      <c r="I8" s="147" t="s">
        <v>168</v>
      </c>
      <c r="J8" s="137"/>
      <c r="K8" s="137"/>
      <c r="L8" s="137"/>
    </row>
    <row r="9" spans="1:12">
      <c r="A9" s="150" t="s">
        <v>167</v>
      </c>
      <c r="B9" s="159">
        <v>10</v>
      </c>
      <c r="C9" s="158">
        <v>2</v>
      </c>
      <c r="D9" s="157">
        <f>+C9*B9</f>
        <v>20</v>
      </c>
      <c r="E9" s="158">
        <v>40</v>
      </c>
      <c r="F9" s="157">
        <f>+E9*B9</f>
        <v>400</v>
      </c>
      <c r="G9" s="137"/>
      <c r="H9" s="147" t="s">
        <v>166</v>
      </c>
      <c r="I9" s="147" t="s">
        <v>165</v>
      </c>
      <c r="J9" s="137"/>
      <c r="K9" s="137"/>
      <c r="L9" s="137"/>
    </row>
    <row r="10" spans="1:12" ht="13.5" thickBot="1">
      <c r="A10" s="150" t="s">
        <v>164</v>
      </c>
      <c r="B10" s="156">
        <v>10</v>
      </c>
      <c r="C10" s="155">
        <v>4</v>
      </c>
      <c r="D10" s="154">
        <f>+C10*B10</f>
        <v>40</v>
      </c>
      <c r="E10" s="155">
        <v>60</v>
      </c>
      <c r="F10" s="154">
        <f>+E10*B10</f>
        <v>600</v>
      </c>
      <c r="G10" s="137"/>
      <c r="H10" s="147" t="s">
        <v>163</v>
      </c>
      <c r="I10" s="147" t="s">
        <v>162</v>
      </c>
      <c r="J10" s="137"/>
      <c r="K10" s="137"/>
      <c r="L10" s="137"/>
    </row>
    <row r="11" spans="1:12" ht="13.5" thickBot="1">
      <c r="A11" s="150" t="s">
        <v>161</v>
      </c>
      <c r="B11" s="153">
        <f>SUM(B9:B10)</f>
        <v>20</v>
      </c>
      <c r="C11" s="152"/>
      <c r="D11" s="153">
        <f>SUM(D9:D10)</f>
        <v>60</v>
      </c>
      <c r="E11" s="152"/>
      <c r="F11" s="151">
        <f>SUM(F9:F10)</f>
        <v>1000</v>
      </c>
      <c r="G11" s="137"/>
      <c r="H11" s="147" t="s">
        <v>160</v>
      </c>
      <c r="I11" s="147" t="s">
        <v>159</v>
      </c>
      <c r="J11" s="137"/>
      <c r="K11" s="137"/>
      <c r="L11" s="137"/>
    </row>
    <row r="12" spans="1:12">
      <c r="A12" s="150" t="s">
        <v>158</v>
      </c>
      <c r="B12" s="149">
        <v>30</v>
      </c>
      <c r="C12" s="148"/>
      <c r="D12" s="149">
        <v>80</v>
      </c>
      <c r="E12" s="148"/>
      <c r="F12" s="148"/>
      <c r="G12" s="137"/>
      <c r="H12" s="147" t="s">
        <v>157</v>
      </c>
      <c r="I12" s="147" t="s">
        <v>156</v>
      </c>
      <c r="J12" s="137"/>
      <c r="K12" s="137"/>
      <c r="L12" s="137"/>
    </row>
    <row r="13" spans="1:12">
      <c r="A13" s="137"/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>
      <c r="A14" s="137"/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</row>
    <row r="15" spans="1:12">
      <c r="A15" s="137"/>
      <c r="B15" s="146" t="s">
        <v>155</v>
      </c>
      <c r="C15" s="145" t="str">
        <f>CONCATENATE(TEXT(Recreation!E9,"0"),"s + ",TEXT(Recreation!E10,"0"),"f")</f>
        <v>40s + 60f</v>
      </c>
      <c r="D15" s="137"/>
      <c r="E15" s="144" t="s">
        <v>154</v>
      </c>
      <c r="F15" s="144"/>
      <c r="G15" s="144"/>
      <c r="H15" s="144"/>
      <c r="I15" s="71"/>
      <c r="J15" s="137"/>
      <c r="K15" s="137"/>
      <c r="L15" s="137"/>
    </row>
    <row r="16" spans="1:12">
      <c r="A16" s="137"/>
      <c r="B16" s="143" t="s">
        <v>153</v>
      </c>
      <c r="C16" s="142" t="str">
        <f>CONCATENATE(TEXT(Recreation!C9,"0"),"s + ",TEXT(Recreation!C10,"0"),"f &lt;= ",TEXT(Recreation!D12,"0"))</f>
        <v>2s + 4f &lt;= 80</v>
      </c>
      <c r="D16" s="137"/>
      <c r="E16" s="141" t="s">
        <v>152</v>
      </c>
      <c r="F16" s="141"/>
      <c r="G16" s="141"/>
      <c r="H16" s="141"/>
      <c r="I16" s="71"/>
      <c r="J16" s="137"/>
      <c r="K16" s="137"/>
      <c r="L16" s="137"/>
    </row>
    <row r="17" spans="1:12">
      <c r="A17" s="137"/>
      <c r="B17" s="140"/>
      <c r="C17" s="139" t="str">
        <f>CONCATENATE("s + f &lt;= ",TEXT(Recreation!B12,"0"))</f>
        <v>s + f &lt;= 30</v>
      </c>
      <c r="D17" s="137"/>
      <c r="E17" s="138" t="s">
        <v>151</v>
      </c>
      <c r="F17" s="138"/>
      <c r="G17" s="138"/>
      <c r="H17" s="138"/>
      <c r="I17" s="71"/>
      <c r="J17" s="137"/>
      <c r="K17" s="137"/>
      <c r="L17" s="137"/>
    </row>
    <row r="18" spans="1:12">
      <c r="A18" s="13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</row>
    <row r="19" spans="1:12">
      <c r="A19" s="137"/>
      <c r="B19" s="137" t="s">
        <v>150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</row>
    <row r="20" spans="1:12">
      <c r="A20" s="137"/>
      <c r="B20" s="137" t="s">
        <v>149</v>
      </c>
      <c r="C20" s="137"/>
      <c r="D20" s="137"/>
      <c r="E20" s="137"/>
      <c r="F20" s="137"/>
      <c r="G20" s="137"/>
      <c r="H20" s="137"/>
      <c r="I20" s="137"/>
      <c r="J20" s="137"/>
      <c r="K20" s="137"/>
      <c r="L20" s="137"/>
    </row>
    <row r="21" spans="1:12">
      <c r="A21" s="137"/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</row>
    <row r="22" spans="1:12">
      <c r="A22" s="137"/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</row>
    <row r="23" spans="1:12">
      <c r="A23" s="137"/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</row>
    <row r="24" spans="1:12">
      <c r="A24" s="137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</row>
    <row r="25" spans="1:12">
      <c r="A25" s="137"/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</row>
    <row r="26" spans="1:12">
      <c r="B26" s="137"/>
    </row>
    <row r="27" spans="1:12">
      <c r="B27" s="137"/>
    </row>
    <row r="28" spans="1:12">
      <c r="B28" s="137"/>
    </row>
    <row r="29" spans="1:12">
      <c r="B29" s="137"/>
    </row>
    <row r="30" spans="1:12">
      <c r="B30" s="137"/>
    </row>
    <row r="31" spans="1:12">
      <c r="B31" s="137"/>
    </row>
    <row r="32" spans="1:12">
      <c r="B32" s="137"/>
    </row>
    <row r="33" spans="2:2">
      <c r="B33" s="137"/>
    </row>
    <row r="34" spans="2:2">
      <c r="B34" s="137"/>
    </row>
    <row r="35" spans="2:2">
      <c r="B35" s="137"/>
    </row>
    <row r="36" spans="2:2">
      <c r="B36" s="137"/>
    </row>
    <row r="37" spans="2:2">
      <c r="B37" s="137"/>
    </row>
    <row r="38" spans="2:2">
      <c r="B38" s="137"/>
    </row>
    <row r="39" spans="2:2">
      <c r="B39" s="137"/>
    </row>
    <row r="40" spans="2:2">
      <c r="B40" s="137"/>
    </row>
    <row r="41" spans="2:2">
      <c r="B41" s="137"/>
    </row>
    <row r="42" spans="2:2">
      <c r="B42" s="137"/>
    </row>
    <row r="43" spans="2:2">
      <c r="B43" s="137"/>
    </row>
    <row r="44" spans="2:2">
      <c r="B44" s="137"/>
    </row>
    <row r="45" spans="2:2">
      <c r="B45" s="137"/>
    </row>
    <row r="46" spans="2:2">
      <c r="B46" s="137"/>
    </row>
    <row r="47" spans="2:2">
      <c r="B47" s="137"/>
    </row>
    <row r="48" spans="2:2">
      <c r="B48" s="137"/>
    </row>
    <row r="49" spans="2:2">
      <c r="B49" s="137"/>
    </row>
    <row r="50" spans="2:2">
      <c r="B50" s="137"/>
    </row>
    <row r="51" spans="2:2">
      <c r="B51" s="137"/>
    </row>
    <row r="52" spans="2:2">
      <c r="B52" s="137"/>
    </row>
    <row r="53" spans="2:2">
      <c r="B53" s="137"/>
    </row>
    <row r="54" spans="2:2">
      <c r="B54" s="137"/>
    </row>
  </sheetData>
  <mergeCells count="2">
    <mergeCell ref="E7:F7"/>
    <mergeCell ref="C7:D7"/>
  </mergeCells>
  <conditionalFormatting sqref="B11">
    <cfRule type="cellIs" dxfId="6" priority="3" stopIfTrue="1" operator="greaterThan">
      <formula>$B$12</formula>
    </cfRule>
    <cfRule type="cellIs" dxfId="5" priority="4" stopIfTrue="1" operator="lessThan">
      <formula>$B$12</formula>
    </cfRule>
  </conditionalFormatting>
  <conditionalFormatting sqref="D11">
    <cfRule type="cellIs" dxfId="4" priority="1" stopIfTrue="1" operator="greaterThan">
      <formula>$D$12</formula>
    </cfRule>
    <cfRule type="cellIs" dxfId="3" priority="2" stopIfTrue="1" operator="lessThan">
      <formula>$D$12</formula>
    </cfRule>
  </conditionalFormatting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AW97"/>
  <sheetViews>
    <sheetView zoomScale="85" zoomScaleNormal="85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AS62" sqref="AS62"/>
    </sheetView>
  </sheetViews>
  <sheetFormatPr defaultColWidth="10.85546875" defaultRowHeight="12"/>
  <cols>
    <col min="1" max="1" width="2.85546875" style="222" customWidth="1"/>
    <col min="2" max="2" width="4.140625" style="223" customWidth="1"/>
    <col min="3" max="3" width="13.140625" style="221" customWidth="1"/>
    <col min="4" max="40" width="2.85546875" style="222" customWidth="1"/>
    <col min="41" max="41" width="3.140625" style="222" customWidth="1"/>
    <col min="42" max="42" width="2.85546875" style="222" customWidth="1"/>
    <col min="43" max="43" width="5.42578125" style="222" bestFit="1" customWidth="1"/>
    <col min="44" max="44" width="13.5703125" style="222" customWidth="1"/>
    <col min="45" max="45" width="11.85546875" style="222" customWidth="1"/>
    <col min="46" max="46" width="9.85546875" style="222" customWidth="1"/>
    <col min="47" max="16384" width="10.85546875" style="222"/>
  </cols>
  <sheetData>
    <row r="1" spans="1:46" ht="18">
      <c r="A1" s="219" t="s">
        <v>273</v>
      </c>
      <c r="B1" s="220"/>
    </row>
    <row r="2" spans="1:46">
      <c r="D2" s="223"/>
      <c r="E2" s="223"/>
      <c r="F2" s="223"/>
      <c r="G2" s="223"/>
      <c r="S2" s="222" t="s">
        <v>274</v>
      </c>
    </row>
    <row r="3" spans="1:46">
      <c r="D3" s="223">
        <v>1</v>
      </c>
      <c r="E3" s="223">
        <v>2</v>
      </c>
      <c r="F3" s="223">
        <v>3</v>
      </c>
      <c r="G3" s="223">
        <v>4</v>
      </c>
      <c r="H3" s="222">
        <v>5</v>
      </c>
      <c r="I3" s="223">
        <v>6</v>
      </c>
      <c r="J3" s="223">
        <v>7</v>
      </c>
      <c r="K3" s="223">
        <v>8</v>
      </c>
      <c r="L3" s="223">
        <v>9</v>
      </c>
      <c r="M3" s="223">
        <v>10</v>
      </c>
      <c r="N3" s="223">
        <v>11</v>
      </c>
      <c r="O3" s="222">
        <v>12</v>
      </c>
      <c r="P3" s="222">
        <v>13</v>
      </c>
      <c r="Q3" s="222">
        <v>14</v>
      </c>
      <c r="R3" s="222">
        <v>15</v>
      </c>
      <c r="S3" s="222">
        <v>16</v>
      </c>
      <c r="T3" s="222">
        <v>17</v>
      </c>
      <c r="U3" s="222">
        <v>18</v>
      </c>
      <c r="V3" s="222">
        <v>19</v>
      </c>
      <c r="W3" s="222">
        <v>20</v>
      </c>
      <c r="X3" s="222">
        <v>21</v>
      </c>
      <c r="Y3" s="222">
        <v>22</v>
      </c>
      <c r="Z3" s="222">
        <v>23</v>
      </c>
      <c r="AA3" s="222">
        <v>24</v>
      </c>
      <c r="AB3" s="222">
        <v>25</v>
      </c>
      <c r="AC3" s="222">
        <v>26</v>
      </c>
      <c r="AD3" s="222">
        <v>27</v>
      </c>
      <c r="AE3" s="222">
        <v>28</v>
      </c>
      <c r="AF3" s="222">
        <v>29</v>
      </c>
      <c r="AG3" s="222">
        <v>30</v>
      </c>
      <c r="AH3" s="222">
        <v>31</v>
      </c>
      <c r="AI3" s="222">
        <v>32</v>
      </c>
      <c r="AJ3" s="222">
        <v>33</v>
      </c>
      <c r="AK3" s="222">
        <v>34</v>
      </c>
      <c r="AL3" s="222">
        <v>35</v>
      </c>
      <c r="AM3" s="222">
        <v>36</v>
      </c>
      <c r="AN3" s="222">
        <v>37</v>
      </c>
    </row>
    <row r="4" spans="1:46" ht="65.25">
      <c r="C4" s="221" t="s">
        <v>275</v>
      </c>
      <c r="D4" s="224" t="s">
        <v>276</v>
      </c>
      <c r="E4" s="224" t="s">
        <v>277</v>
      </c>
      <c r="F4" s="224" t="s">
        <v>278</v>
      </c>
      <c r="G4" s="224" t="s">
        <v>279</v>
      </c>
      <c r="H4" s="224" t="s">
        <v>280</v>
      </c>
      <c r="I4" s="224" t="s">
        <v>281</v>
      </c>
      <c r="J4" s="224" t="s">
        <v>282</v>
      </c>
      <c r="K4" s="224" t="s">
        <v>283</v>
      </c>
      <c r="L4" s="224" t="s">
        <v>284</v>
      </c>
      <c r="M4" s="224" t="s">
        <v>285</v>
      </c>
      <c r="N4" s="224" t="s">
        <v>286</v>
      </c>
      <c r="O4" s="224" t="s">
        <v>287</v>
      </c>
      <c r="P4" s="224" t="s">
        <v>288</v>
      </c>
      <c r="Q4" s="224" t="s">
        <v>289</v>
      </c>
      <c r="R4" s="224" t="s">
        <v>290</v>
      </c>
      <c r="S4" s="224" t="s">
        <v>291</v>
      </c>
      <c r="T4" s="224" t="s">
        <v>292</v>
      </c>
      <c r="U4" s="224" t="s">
        <v>293</v>
      </c>
      <c r="V4" s="224" t="s">
        <v>294</v>
      </c>
      <c r="W4" s="224" t="s">
        <v>295</v>
      </c>
      <c r="X4" s="224" t="s">
        <v>296</v>
      </c>
      <c r="Y4" s="225" t="s">
        <v>297</v>
      </c>
      <c r="Z4" s="224" t="s">
        <v>298</v>
      </c>
      <c r="AA4" s="224" t="s">
        <v>299</v>
      </c>
      <c r="AB4" s="224" t="s">
        <v>300</v>
      </c>
      <c r="AC4" s="224" t="s">
        <v>301</v>
      </c>
      <c r="AD4" s="224" t="s">
        <v>302</v>
      </c>
      <c r="AE4" s="224" t="s">
        <v>303</v>
      </c>
      <c r="AF4" s="224" t="s">
        <v>304</v>
      </c>
      <c r="AG4" s="224" t="s">
        <v>305</v>
      </c>
      <c r="AH4" s="224" t="s">
        <v>306</v>
      </c>
      <c r="AI4" s="224" t="s">
        <v>307</v>
      </c>
      <c r="AJ4" s="224" t="s">
        <v>308</v>
      </c>
      <c r="AK4" s="224" t="s">
        <v>309</v>
      </c>
      <c r="AL4" s="224" t="s">
        <v>310</v>
      </c>
      <c r="AM4" s="224" t="s">
        <v>311</v>
      </c>
      <c r="AN4" s="225" t="s">
        <v>312</v>
      </c>
      <c r="AO4" s="225" t="s">
        <v>313</v>
      </c>
      <c r="AQ4" s="225" t="s">
        <v>314</v>
      </c>
    </row>
    <row r="5" spans="1:46" ht="12.75" thickBot="1">
      <c r="B5" s="223">
        <v>1</v>
      </c>
      <c r="C5" s="221" t="s">
        <v>276</v>
      </c>
      <c r="D5" s="226">
        <v>1</v>
      </c>
      <c r="E5" s="226">
        <v>1</v>
      </c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226"/>
      <c r="AO5" s="223">
        <f t="shared" ref="AO5:AO41" si="0">SUMPRODUCT(D5:AN5,Team?)</f>
        <v>0</v>
      </c>
      <c r="AP5" s="223" t="s">
        <v>180</v>
      </c>
      <c r="AQ5" s="226">
        <v>1</v>
      </c>
    </row>
    <row r="6" spans="1:46" ht="12.75" thickBot="1">
      <c r="B6" s="223">
        <v>2</v>
      </c>
      <c r="C6" s="221" t="s">
        <v>277</v>
      </c>
      <c r="D6" s="226">
        <v>1</v>
      </c>
      <c r="E6" s="226">
        <v>1</v>
      </c>
      <c r="F6" s="226">
        <v>1</v>
      </c>
      <c r="G6" s="226"/>
      <c r="H6" s="226"/>
      <c r="I6" s="226">
        <v>1</v>
      </c>
      <c r="J6" s="226">
        <v>1</v>
      </c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3">
        <f t="shared" si="0"/>
        <v>0</v>
      </c>
      <c r="AP6" s="223" t="s">
        <v>180</v>
      </c>
      <c r="AQ6" s="226">
        <v>1</v>
      </c>
      <c r="AS6" s="227" t="s">
        <v>315</v>
      </c>
      <c r="AT6" s="228" t="s">
        <v>316</v>
      </c>
    </row>
    <row r="7" spans="1:46">
      <c r="B7" s="223">
        <v>3</v>
      </c>
      <c r="C7" s="221" t="s">
        <v>278</v>
      </c>
      <c r="D7" s="226"/>
      <c r="E7" s="226">
        <v>1</v>
      </c>
      <c r="F7" s="226">
        <v>1</v>
      </c>
      <c r="G7" s="226">
        <v>1</v>
      </c>
      <c r="H7" s="226"/>
      <c r="I7" s="226"/>
      <c r="J7" s="226">
        <v>1</v>
      </c>
      <c r="K7" s="226">
        <v>1</v>
      </c>
      <c r="L7" s="226"/>
      <c r="M7" s="226"/>
      <c r="N7" s="226"/>
      <c r="O7" s="226"/>
      <c r="P7" s="226"/>
      <c r="Q7" s="226">
        <v>1</v>
      </c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3">
        <f t="shared" si="0"/>
        <v>0</v>
      </c>
      <c r="AP7" s="223" t="s">
        <v>180</v>
      </c>
      <c r="AQ7" s="226">
        <v>1</v>
      </c>
      <c r="AS7" s="229" t="s">
        <v>314</v>
      </c>
      <c r="AT7" s="230" t="s">
        <v>317</v>
      </c>
    </row>
    <row r="8" spans="1:46">
      <c r="B8" s="223">
        <v>4</v>
      </c>
      <c r="C8" s="221" t="s">
        <v>279</v>
      </c>
      <c r="D8" s="226"/>
      <c r="E8" s="226"/>
      <c r="F8" s="226">
        <v>1</v>
      </c>
      <c r="G8" s="226">
        <v>1</v>
      </c>
      <c r="H8" s="226">
        <v>1</v>
      </c>
      <c r="I8" s="226"/>
      <c r="J8" s="226"/>
      <c r="K8" s="226"/>
      <c r="L8" s="226"/>
      <c r="M8" s="226"/>
      <c r="N8" s="226"/>
      <c r="O8" s="226"/>
      <c r="P8" s="226"/>
      <c r="Q8" s="226">
        <v>1</v>
      </c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  <c r="AM8" s="226"/>
      <c r="AN8" s="226"/>
      <c r="AO8" s="223">
        <f t="shared" si="0"/>
        <v>0</v>
      </c>
      <c r="AP8" s="223" t="s">
        <v>180</v>
      </c>
      <c r="AQ8" s="226">
        <v>1</v>
      </c>
      <c r="AS8" s="229" t="s">
        <v>318</v>
      </c>
      <c r="AT8" s="230" t="s">
        <v>319</v>
      </c>
    </row>
    <row r="9" spans="1:46">
      <c r="B9" s="223">
        <v>5</v>
      </c>
      <c r="C9" s="221" t="s">
        <v>280</v>
      </c>
      <c r="D9" s="226"/>
      <c r="E9" s="226"/>
      <c r="F9" s="226"/>
      <c r="G9" s="226">
        <v>1</v>
      </c>
      <c r="H9" s="226">
        <v>1</v>
      </c>
      <c r="I9" s="226"/>
      <c r="J9" s="226"/>
      <c r="K9" s="226"/>
      <c r="L9" s="226"/>
      <c r="M9" s="226"/>
      <c r="N9" s="226"/>
      <c r="O9" s="226"/>
      <c r="P9" s="226"/>
      <c r="Q9" s="226">
        <v>1</v>
      </c>
      <c r="R9" s="226">
        <v>1</v>
      </c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226"/>
      <c r="AI9" s="226"/>
      <c r="AJ9" s="226"/>
      <c r="AK9" s="226"/>
      <c r="AL9" s="226"/>
      <c r="AM9" s="226"/>
      <c r="AN9" s="226"/>
      <c r="AO9" s="223">
        <f t="shared" si="0"/>
        <v>0</v>
      </c>
      <c r="AP9" s="223" t="s">
        <v>180</v>
      </c>
      <c r="AQ9" s="226">
        <v>1</v>
      </c>
      <c r="AS9" s="229" t="s">
        <v>320</v>
      </c>
      <c r="AT9" s="230" t="s">
        <v>321</v>
      </c>
    </row>
    <row r="10" spans="1:46" ht="12.75" thickBot="1">
      <c r="B10" s="223">
        <v>6</v>
      </c>
      <c r="C10" s="221" t="s">
        <v>281</v>
      </c>
      <c r="D10" s="226"/>
      <c r="E10" s="226">
        <v>1</v>
      </c>
      <c r="F10" s="226"/>
      <c r="G10" s="226"/>
      <c r="H10" s="226"/>
      <c r="I10" s="226">
        <v>1</v>
      </c>
      <c r="J10" s="226">
        <v>1</v>
      </c>
      <c r="K10" s="226"/>
      <c r="L10" s="226"/>
      <c r="M10" s="226"/>
      <c r="N10" s="226"/>
      <c r="O10" s="226">
        <v>1</v>
      </c>
      <c r="P10" s="226">
        <v>1</v>
      </c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M10" s="226"/>
      <c r="AN10" s="226"/>
      <c r="AO10" s="223">
        <f t="shared" si="0"/>
        <v>0</v>
      </c>
      <c r="AP10" s="223" t="s">
        <v>180</v>
      </c>
      <c r="AQ10" s="226">
        <v>1</v>
      </c>
      <c r="AS10" s="231" t="s">
        <v>322</v>
      </c>
      <c r="AT10" s="232" t="s">
        <v>323</v>
      </c>
    </row>
    <row r="11" spans="1:46">
      <c r="B11" s="223">
        <v>7</v>
      </c>
      <c r="C11" s="221" t="s">
        <v>282</v>
      </c>
      <c r="D11" s="226"/>
      <c r="E11" s="226">
        <v>1</v>
      </c>
      <c r="F11" s="226">
        <v>1</v>
      </c>
      <c r="G11" s="226"/>
      <c r="H11" s="226"/>
      <c r="I11" s="226">
        <v>1</v>
      </c>
      <c r="J11" s="226">
        <v>1</v>
      </c>
      <c r="K11" s="226">
        <v>1</v>
      </c>
      <c r="L11" s="226"/>
      <c r="M11" s="226"/>
      <c r="N11" s="226"/>
      <c r="O11" s="226"/>
      <c r="P11" s="226">
        <v>1</v>
      </c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6"/>
      <c r="AF11" s="226"/>
      <c r="AG11" s="226"/>
      <c r="AH11" s="226"/>
      <c r="AI11" s="226"/>
      <c r="AJ11" s="226"/>
      <c r="AK11" s="226"/>
      <c r="AL11" s="226"/>
      <c r="AM11" s="226"/>
      <c r="AN11" s="226"/>
      <c r="AO11" s="223">
        <f t="shared" si="0"/>
        <v>0</v>
      </c>
      <c r="AP11" s="223" t="s">
        <v>180</v>
      </c>
      <c r="AQ11" s="226">
        <v>1</v>
      </c>
    </row>
    <row r="12" spans="1:46">
      <c r="B12" s="223">
        <v>8</v>
      </c>
      <c r="C12" s="221" t="s">
        <v>283</v>
      </c>
      <c r="D12" s="226"/>
      <c r="E12" s="226"/>
      <c r="F12" s="226">
        <v>1</v>
      </c>
      <c r="G12" s="226"/>
      <c r="H12" s="226"/>
      <c r="I12" s="226"/>
      <c r="J12" s="226">
        <v>1</v>
      </c>
      <c r="K12" s="226">
        <v>1</v>
      </c>
      <c r="L12" s="226"/>
      <c r="M12" s="226"/>
      <c r="N12" s="226"/>
      <c r="O12" s="226"/>
      <c r="P12" s="226">
        <v>1</v>
      </c>
      <c r="Q12" s="226">
        <v>1</v>
      </c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226"/>
      <c r="AE12" s="226"/>
      <c r="AF12" s="226"/>
      <c r="AG12" s="226"/>
      <c r="AH12" s="226"/>
      <c r="AI12" s="226"/>
      <c r="AJ12" s="226"/>
      <c r="AK12" s="226"/>
      <c r="AL12" s="226"/>
      <c r="AM12" s="226"/>
      <c r="AN12" s="226"/>
      <c r="AO12" s="223">
        <f t="shared" si="0"/>
        <v>0</v>
      </c>
      <c r="AP12" s="223" t="s">
        <v>180</v>
      </c>
      <c r="AQ12" s="226">
        <v>1</v>
      </c>
    </row>
    <row r="13" spans="1:46">
      <c r="B13" s="223">
        <v>9</v>
      </c>
      <c r="C13" s="221" t="s">
        <v>284</v>
      </c>
      <c r="D13" s="226"/>
      <c r="E13" s="226"/>
      <c r="F13" s="226"/>
      <c r="G13" s="226"/>
      <c r="H13" s="226"/>
      <c r="I13" s="226"/>
      <c r="J13" s="226"/>
      <c r="K13" s="226"/>
      <c r="L13" s="226">
        <v>1</v>
      </c>
      <c r="M13" s="226">
        <v>1</v>
      </c>
      <c r="N13" s="226"/>
      <c r="O13" s="226"/>
      <c r="P13" s="226"/>
      <c r="Q13" s="226"/>
      <c r="R13" s="226"/>
      <c r="S13" s="226"/>
      <c r="T13" s="226"/>
      <c r="U13" s="226">
        <v>1</v>
      </c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26"/>
      <c r="AH13" s="226"/>
      <c r="AI13" s="226"/>
      <c r="AJ13" s="226"/>
      <c r="AK13" s="226"/>
      <c r="AL13" s="226"/>
      <c r="AM13" s="226"/>
      <c r="AN13" s="226"/>
      <c r="AO13" s="223">
        <f t="shared" si="0"/>
        <v>0</v>
      </c>
      <c r="AP13" s="223" t="s">
        <v>180</v>
      </c>
      <c r="AQ13" s="226">
        <v>1</v>
      </c>
    </row>
    <row r="14" spans="1:46">
      <c r="B14" s="223">
        <v>10</v>
      </c>
      <c r="C14" s="221" t="s">
        <v>285</v>
      </c>
      <c r="D14" s="226"/>
      <c r="E14" s="226"/>
      <c r="F14" s="226"/>
      <c r="G14" s="226"/>
      <c r="H14" s="226"/>
      <c r="I14" s="226"/>
      <c r="J14" s="226"/>
      <c r="K14" s="226"/>
      <c r="L14" s="226">
        <v>1</v>
      </c>
      <c r="M14" s="226">
        <v>1</v>
      </c>
      <c r="N14" s="226">
        <v>1</v>
      </c>
      <c r="O14" s="226"/>
      <c r="P14" s="226"/>
      <c r="Q14" s="226"/>
      <c r="R14" s="226"/>
      <c r="S14" s="226"/>
      <c r="T14" s="226"/>
      <c r="U14" s="226">
        <v>1</v>
      </c>
      <c r="V14" s="226">
        <v>1</v>
      </c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26"/>
      <c r="AJ14" s="226"/>
      <c r="AK14" s="226"/>
      <c r="AL14" s="226"/>
      <c r="AM14" s="226"/>
      <c r="AN14" s="226"/>
      <c r="AO14" s="223">
        <f t="shared" si="0"/>
        <v>0</v>
      </c>
      <c r="AP14" s="223" t="s">
        <v>180</v>
      </c>
      <c r="AQ14" s="226">
        <v>1</v>
      </c>
    </row>
    <row r="15" spans="1:46">
      <c r="B15" s="223">
        <v>11</v>
      </c>
      <c r="C15" s="221" t="s">
        <v>286</v>
      </c>
      <c r="D15" s="226"/>
      <c r="E15" s="226"/>
      <c r="F15" s="226"/>
      <c r="G15" s="226"/>
      <c r="H15" s="226"/>
      <c r="I15" s="226"/>
      <c r="J15" s="226"/>
      <c r="K15" s="226"/>
      <c r="L15" s="226"/>
      <c r="M15" s="226">
        <v>1</v>
      </c>
      <c r="N15" s="226">
        <v>1</v>
      </c>
      <c r="O15" s="226">
        <v>1</v>
      </c>
      <c r="P15" s="226"/>
      <c r="Q15" s="226"/>
      <c r="R15" s="226"/>
      <c r="S15" s="226"/>
      <c r="T15" s="226"/>
      <c r="U15" s="226"/>
      <c r="V15" s="226">
        <v>1</v>
      </c>
      <c r="W15" s="226"/>
      <c r="X15" s="226"/>
      <c r="Y15" s="226"/>
      <c r="Z15" s="226"/>
      <c r="AA15" s="226"/>
      <c r="AB15" s="226"/>
      <c r="AC15" s="226"/>
      <c r="AD15" s="226"/>
      <c r="AE15" s="226"/>
      <c r="AF15" s="226"/>
      <c r="AG15" s="226"/>
      <c r="AH15" s="226"/>
      <c r="AI15" s="226"/>
      <c r="AJ15" s="226"/>
      <c r="AK15" s="226"/>
      <c r="AL15" s="226"/>
      <c r="AM15" s="226"/>
      <c r="AN15" s="226"/>
      <c r="AO15" s="223">
        <f t="shared" si="0"/>
        <v>0</v>
      </c>
      <c r="AP15" s="223" t="s">
        <v>180</v>
      </c>
      <c r="AQ15" s="226">
        <v>1</v>
      </c>
    </row>
    <row r="16" spans="1:46">
      <c r="B16" s="223">
        <v>12</v>
      </c>
      <c r="C16" s="221" t="s">
        <v>287</v>
      </c>
      <c r="D16" s="226"/>
      <c r="E16" s="226"/>
      <c r="F16" s="226"/>
      <c r="G16" s="226"/>
      <c r="H16" s="226"/>
      <c r="I16" s="226">
        <v>1</v>
      </c>
      <c r="J16" s="226"/>
      <c r="K16" s="226"/>
      <c r="L16" s="226"/>
      <c r="M16" s="226"/>
      <c r="N16" s="226">
        <v>1</v>
      </c>
      <c r="O16" s="226">
        <v>1</v>
      </c>
      <c r="P16" s="226">
        <v>1</v>
      </c>
      <c r="Q16" s="226"/>
      <c r="R16" s="226"/>
      <c r="S16" s="226"/>
      <c r="T16" s="226"/>
      <c r="U16" s="226"/>
      <c r="V16" s="226">
        <v>1</v>
      </c>
      <c r="W16" s="226"/>
      <c r="X16" s="226">
        <v>1</v>
      </c>
      <c r="Y16" s="226"/>
      <c r="Z16" s="226"/>
      <c r="AA16" s="226"/>
      <c r="AB16" s="226"/>
      <c r="AC16" s="226"/>
      <c r="AD16" s="226"/>
      <c r="AE16" s="226"/>
      <c r="AF16" s="226"/>
      <c r="AG16" s="226"/>
      <c r="AH16" s="226"/>
      <c r="AI16" s="226"/>
      <c r="AJ16" s="226"/>
      <c r="AK16" s="226"/>
      <c r="AL16" s="226"/>
      <c r="AM16" s="226"/>
      <c r="AN16" s="226"/>
      <c r="AO16" s="223">
        <f t="shared" si="0"/>
        <v>0</v>
      </c>
      <c r="AP16" s="223" t="s">
        <v>180</v>
      </c>
      <c r="AQ16" s="226">
        <v>1</v>
      </c>
    </row>
    <row r="17" spans="2:43">
      <c r="B17" s="223">
        <v>13</v>
      </c>
      <c r="C17" s="221" t="s">
        <v>288</v>
      </c>
      <c r="D17" s="226"/>
      <c r="E17" s="226"/>
      <c r="F17" s="226"/>
      <c r="G17" s="226"/>
      <c r="H17" s="226"/>
      <c r="I17" s="226">
        <v>1</v>
      </c>
      <c r="J17" s="226">
        <v>1</v>
      </c>
      <c r="K17" s="226">
        <v>1</v>
      </c>
      <c r="L17" s="226"/>
      <c r="M17" s="226"/>
      <c r="N17" s="226"/>
      <c r="O17" s="226">
        <v>1</v>
      </c>
      <c r="P17" s="226">
        <v>1</v>
      </c>
      <c r="Q17" s="226">
        <v>1</v>
      </c>
      <c r="R17" s="226"/>
      <c r="S17" s="226"/>
      <c r="T17" s="226"/>
      <c r="U17" s="226"/>
      <c r="V17" s="226"/>
      <c r="W17" s="226"/>
      <c r="X17" s="226">
        <v>1</v>
      </c>
      <c r="Y17" s="226"/>
      <c r="Z17" s="226">
        <v>1</v>
      </c>
      <c r="AA17" s="226"/>
      <c r="AB17" s="226"/>
      <c r="AC17" s="226"/>
      <c r="AD17" s="226"/>
      <c r="AE17" s="226"/>
      <c r="AF17" s="226"/>
      <c r="AG17" s="226"/>
      <c r="AH17" s="226"/>
      <c r="AI17" s="226"/>
      <c r="AJ17" s="226"/>
      <c r="AK17" s="226"/>
      <c r="AL17" s="226"/>
      <c r="AM17" s="226"/>
      <c r="AN17" s="226"/>
      <c r="AO17" s="223">
        <f t="shared" si="0"/>
        <v>0</v>
      </c>
      <c r="AP17" s="223" t="s">
        <v>180</v>
      </c>
      <c r="AQ17" s="226">
        <v>1</v>
      </c>
    </row>
    <row r="18" spans="2:43">
      <c r="B18" s="223">
        <v>14</v>
      </c>
      <c r="C18" s="221" t="s">
        <v>289</v>
      </c>
      <c r="D18" s="226"/>
      <c r="E18" s="226"/>
      <c r="F18" s="226">
        <v>1</v>
      </c>
      <c r="G18" s="226">
        <v>1</v>
      </c>
      <c r="H18" s="226">
        <v>1</v>
      </c>
      <c r="I18" s="226"/>
      <c r="J18" s="226"/>
      <c r="K18" s="226">
        <v>1</v>
      </c>
      <c r="L18" s="226"/>
      <c r="M18" s="226"/>
      <c r="N18" s="226"/>
      <c r="O18" s="226"/>
      <c r="P18" s="226">
        <v>1</v>
      </c>
      <c r="Q18" s="226">
        <v>1</v>
      </c>
      <c r="R18" s="226">
        <v>1</v>
      </c>
      <c r="S18" s="226"/>
      <c r="T18" s="226">
        <v>1</v>
      </c>
      <c r="U18" s="226"/>
      <c r="V18" s="226"/>
      <c r="W18" s="226"/>
      <c r="X18" s="226"/>
      <c r="Y18" s="226"/>
      <c r="Z18" s="226">
        <v>1</v>
      </c>
      <c r="AA18" s="226"/>
      <c r="AB18" s="226"/>
      <c r="AC18" s="226"/>
      <c r="AD18" s="226"/>
      <c r="AE18" s="226"/>
      <c r="AF18" s="226"/>
      <c r="AG18" s="226"/>
      <c r="AH18" s="226"/>
      <c r="AI18" s="226"/>
      <c r="AJ18" s="226"/>
      <c r="AK18" s="226"/>
      <c r="AL18" s="226"/>
      <c r="AM18" s="226"/>
      <c r="AN18" s="226"/>
      <c r="AO18" s="223">
        <f t="shared" si="0"/>
        <v>0</v>
      </c>
      <c r="AP18" s="223" t="s">
        <v>180</v>
      </c>
      <c r="AQ18" s="226">
        <v>1</v>
      </c>
    </row>
    <row r="19" spans="2:43">
      <c r="B19" s="223">
        <v>15</v>
      </c>
      <c r="C19" s="221" t="s">
        <v>290</v>
      </c>
      <c r="D19" s="226"/>
      <c r="E19" s="226"/>
      <c r="F19" s="226"/>
      <c r="G19" s="226"/>
      <c r="H19" s="226">
        <v>1</v>
      </c>
      <c r="I19" s="226"/>
      <c r="J19" s="226"/>
      <c r="K19" s="226"/>
      <c r="L19" s="226"/>
      <c r="M19" s="226"/>
      <c r="N19" s="226"/>
      <c r="O19" s="226"/>
      <c r="P19" s="226"/>
      <c r="Q19" s="226">
        <v>1</v>
      </c>
      <c r="R19" s="226">
        <v>1</v>
      </c>
      <c r="S19" s="226"/>
      <c r="T19" s="226">
        <v>1</v>
      </c>
      <c r="U19" s="226"/>
      <c r="V19" s="226"/>
      <c r="W19" s="226"/>
      <c r="X19" s="226"/>
      <c r="Y19" s="226"/>
      <c r="Z19" s="226"/>
      <c r="AA19" s="226"/>
      <c r="AB19" s="226"/>
      <c r="AC19" s="226"/>
      <c r="AD19" s="226"/>
      <c r="AE19" s="226"/>
      <c r="AF19" s="226"/>
      <c r="AG19" s="226"/>
      <c r="AH19" s="226"/>
      <c r="AI19" s="226"/>
      <c r="AJ19" s="226"/>
      <c r="AK19" s="226"/>
      <c r="AL19" s="226"/>
      <c r="AM19" s="226"/>
      <c r="AN19" s="226"/>
      <c r="AO19" s="223">
        <f t="shared" si="0"/>
        <v>0</v>
      </c>
      <c r="AP19" s="223" t="s">
        <v>180</v>
      </c>
      <c r="AQ19" s="226">
        <v>1</v>
      </c>
    </row>
    <row r="20" spans="2:43">
      <c r="B20" s="223">
        <v>16</v>
      </c>
      <c r="C20" s="221" t="s">
        <v>291</v>
      </c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>
        <v>1</v>
      </c>
      <c r="S20" s="226">
        <v>1</v>
      </c>
      <c r="T20" s="226">
        <v>1</v>
      </c>
      <c r="U20" s="226"/>
      <c r="V20" s="226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226"/>
      <c r="AL20" s="226"/>
      <c r="AM20" s="226"/>
      <c r="AN20" s="226"/>
      <c r="AO20" s="223">
        <f t="shared" si="0"/>
        <v>0</v>
      </c>
      <c r="AP20" s="223" t="s">
        <v>180</v>
      </c>
      <c r="AQ20" s="226">
        <v>1</v>
      </c>
    </row>
    <row r="21" spans="2:43">
      <c r="B21" s="223">
        <v>17</v>
      </c>
      <c r="C21" s="221" t="s">
        <v>292</v>
      </c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6"/>
      <c r="Q21" s="226">
        <v>1</v>
      </c>
      <c r="R21" s="226">
        <v>1</v>
      </c>
      <c r="S21" s="226">
        <v>1</v>
      </c>
      <c r="T21" s="226">
        <v>1</v>
      </c>
      <c r="U21" s="226"/>
      <c r="V21" s="226"/>
      <c r="W21" s="226"/>
      <c r="X21" s="226"/>
      <c r="Y21" s="226"/>
      <c r="Z21" s="226">
        <v>1</v>
      </c>
      <c r="AA21" s="226">
        <v>1</v>
      </c>
      <c r="AB21" s="226"/>
      <c r="AC21" s="226"/>
      <c r="AD21" s="226"/>
      <c r="AE21" s="226"/>
      <c r="AF21" s="226"/>
      <c r="AG21" s="226"/>
      <c r="AH21" s="226"/>
      <c r="AI21" s="226"/>
      <c r="AJ21" s="226"/>
      <c r="AK21" s="226"/>
      <c r="AL21" s="226"/>
      <c r="AM21" s="226"/>
      <c r="AN21" s="226"/>
      <c r="AO21" s="223">
        <f t="shared" si="0"/>
        <v>0</v>
      </c>
      <c r="AP21" s="223" t="s">
        <v>180</v>
      </c>
      <c r="AQ21" s="226">
        <v>1</v>
      </c>
    </row>
    <row r="22" spans="2:43">
      <c r="B22" s="223">
        <v>18</v>
      </c>
      <c r="C22" s="221" t="s">
        <v>293</v>
      </c>
      <c r="D22" s="226"/>
      <c r="E22" s="226"/>
      <c r="F22" s="226"/>
      <c r="G22" s="226"/>
      <c r="H22" s="226"/>
      <c r="I22" s="226"/>
      <c r="J22" s="226"/>
      <c r="K22" s="226"/>
      <c r="L22" s="226">
        <v>1</v>
      </c>
      <c r="M22" s="226">
        <v>1</v>
      </c>
      <c r="N22" s="226"/>
      <c r="O22" s="226"/>
      <c r="P22" s="226"/>
      <c r="Q22" s="226"/>
      <c r="R22" s="226"/>
      <c r="S22" s="226"/>
      <c r="T22" s="226"/>
      <c r="U22" s="226">
        <v>1</v>
      </c>
      <c r="V22" s="226">
        <v>1</v>
      </c>
      <c r="W22" s="226">
        <v>1</v>
      </c>
      <c r="X22" s="226"/>
      <c r="Y22" s="226"/>
      <c r="Z22" s="226"/>
      <c r="AA22" s="226"/>
      <c r="AB22" s="226"/>
      <c r="AC22" s="226">
        <v>1</v>
      </c>
      <c r="AD22" s="226"/>
      <c r="AE22" s="226"/>
      <c r="AF22" s="226">
        <v>1</v>
      </c>
      <c r="AG22" s="226"/>
      <c r="AH22" s="226"/>
      <c r="AI22" s="226"/>
      <c r="AJ22" s="226"/>
      <c r="AK22" s="226"/>
      <c r="AL22" s="226"/>
      <c r="AM22" s="226"/>
      <c r="AN22" s="226"/>
      <c r="AO22" s="223">
        <f t="shared" si="0"/>
        <v>0</v>
      </c>
      <c r="AP22" s="223" t="s">
        <v>180</v>
      </c>
      <c r="AQ22" s="226">
        <v>1</v>
      </c>
    </row>
    <row r="23" spans="2:43">
      <c r="B23" s="223">
        <v>19</v>
      </c>
      <c r="C23" s="221" t="s">
        <v>294</v>
      </c>
      <c r="D23" s="226"/>
      <c r="E23" s="226"/>
      <c r="F23" s="226"/>
      <c r="G23" s="226"/>
      <c r="H23" s="226"/>
      <c r="I23" s="226"/>
      <c r="J23" s="226"/>
      <c r="K23" s="226"/>
      <c r="L23" s="226"/>
      <c r="M23" s="226">
        <v>1</v>
      </c>
      <c r="N23" s="226">
        <v>1</v>
      </c>
      <c r="O23" s="226">
        <v>1</v>
      </c>
      <c r="P23" s="226"/>
      <c r="Q23" s="226"/>
      <c r="R23" s="226"/>
      <c r="S23" s="226"/>
      <c r="T23" s="226"/>
      <c r="U23" s="226">
        <v>1</v>
      </c>
      <c r="V23" s="226">
        <v>1</v>
      </c>
      <c r="W23" s="226">
        <v>1</v>
      </c>
      <c r="X23" s="226">
        <v>1</v>
      </c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26"/>
      <c r="AL23" s="226"/>
      <c r="AM23" s="226"/>
      <c r="AN23" s="226"/>
      <c r="AO23" s="223">
        <f t="shared" si="0"/>
        <v>0</v>
      </c>
      <c r="AP23" s="223" t="s">
        <v>180</v>
      </c>
      <c r="AQ23" s="226">
        <v>1</v>
      </c>
    </row>
    <row r="24" spans="2:43">
      <c r="B24" s="223">
        <v>20</v>
      </c>
      <c r="C24" s="221" t="s">
        <v>295</v>
      </c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>
        <v>1</v>
      </c>
      <c r="V24" s="226">
        <v>1</v>
      </c>
      <c r="W24" s="226">
        <v>1</v>
      </c>
      <c r="X24" s="226">
        <v>1</v>
      </c>
      <c r="Y24" s="226">
        <v>1</v>
      </c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223">
        <f t="shared" si="0"/>
        <v>0</v>
      </c>
      <c r="AP24" s="223" t="s">
        <v>180</v>
      </c>
      <c r="AQ24" s="226">
        <v>1</v>
      </c>
    </row>
    <row r="25" spans="2:43">
      <c r="B25" s="223">
        <v>21</v>
      </c>
      <c r="C25" s="221" t="s">
        <v>296</v>
      </c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>
        <v>1</v>
      </c>
      <c r="P25" s="226">
        <v>1</v>
      </c>
      <c r="Q25" s="226"/>
      <c r="R25" s="226"/>
      <c r="S25" s="226"/>
      <c r="T25" s="226"/>
      <c r="U25" s="226"/>
      <c r="V25" s="226">
        <v>1</v>
      </c>
      <c r="W25" s="226">
        <v>1</v>
      </c>
      <c r="X25" s="226">
        <v>1</v>
      </c>
      <c r="Y25" s="226">
        <v>1</v>
      </c>
      <c r="Z25" s="226">
        <v>1</v>
      </c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3">
        <f t="shared" si="0"/>
        <v>0</v>
      </c>
      <c r="AP25" s="223" t="s">
        <v>180</v>
      </c>
      <c r="AQ25" s="226">
        <v>1</v>
      </c>
    </row>
    <row r="26" spans="2:43">
      <c r="B26" s="223">
        <v>22</v>
      </c>
      <c r="C26" s="222" t="s">
        <v>297</v>
      </c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>
        <v>1</v>
      </c>
      <c r="X26" s="226">
        <v>1</v>
      </c>
      <c r="Y26" s="226">
        <v>1</v>
      </c>
      <c r="Z26" s="226">
        <v>1</v>
      </c>
      <c r="AA26" s="226"/>
      <c r="AB26" s="226">
        <v>1</v>
      </c>
      <c r="AC26" s="226"/>
      <c r="AD26" s="226"/>
      <c r="AE26" s="226"/>
      <c r="AF26" s="226">
        <v>1</v>
      </c>
      <c r="AG26" s="226"/>
      <c r="AH26" s="226">
        <v>1</v>
      </c>
      <c r="AI26" s="226"/>
      <c r="AJ26" s="226">
        <v>1</v>
      </c>
      <c r="AK26" s="226"/>
      <c r="AL26" s="226"/>
      <c r="AM26" s="226"/>
      <c r="AN26" s="226"/>
      <c r="AO26" s="223">
        <f t="shared" si="0"/>
        <v>0</v>
      </c>
      <c r="AP26" s="223" t="s">
        <v>180</v>
      </c>
      <c r="AQ26" s="226">
        <v>1</v>
      </c>
    </row>
    <row r="27" spans="2:43">
      <c r="B27" s="223">
        <v>23</v>
      </c>
      <c r="C27" s="221" t="s">
        <v>298</v>
      </c>
      <c r="D27" s="226"/>
      <c r="E27" s="226"/>
      <c r="F27" s="226"/>
      <c r="G27" s="226"/>
      <c r="H27" s="226"/>
      <c r="I27" s="226"/>
      <c r="J27" s="226"/>
      <c r="K27" s="226"/>
      <c r="L27" s="226"/>
      <c r="M27" s="226"/>
      <c r="N27" s="226"/>
      <c r="O27" s="226"/>
      <c r="P27" s="226">
        <v>1</v>
      </c>
      <c r="Q27" s="226">
        <v>1</v>
      </c>
      <c r="R27" s="226"/>
      <c r="S27" s="226"/>
      <c r="T27" s="226">
        <v>1</v>
      </c>
      <c r="U27" s="226"/>
      <c r="V27" s="226"/>
      <c r="W27" s="226"/>
      <c r="X27" s="226">
        <v>1</v>
      </c>
      <c r="Y27" s="226">
        <v>1</v>
      </c>
      <c r="Z27" s="226">
        <v>1</v>
      </c>
      <c r="AA27" s="226">
        <v>1</v>
      </c>
      <c r="AB27" s="226">
        <v>1</v>
      </c>
      <c r="AC27" s="226"/>
      <c r="AD27" s="226"/>
      <c r="AE27" s="226"/>
      <c r="AF27" s="226"/>
      <c r="AG27" s="226"/>
      <c r="AH27" s="226"/>
      <c r="AI27" s="226"/>
      <c r="AJ27" s="226"/>
      <c r="AK27" s="226"/>
      <c r="AL27" s="226"/>
      <c r="AM27" s="226"/>
      <c r="AN27" s="226"/>
      <c r="AO27" s="223">
        <f t="shared" si="0"/>
        <v>0</v>
      </c>
      <c r="AP27" s="223" t="s">
        <v>180</v>
      </c>
      <c r="AQ27" s="226">
        <v>1</v>
      </c>
    </row>
    <row r="28" spans="2:43">
      <c r="B28" s="223">
        <v>24</v>
      </c>
      <c r="C28" s="221" t="s">
        <v>299</v>
      </c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6"/>
      <c r="O28" s="226"/>
      <c r="P28" s="226"/>
      <c r="Q28" s="226"/>
      <c r="R28" s="226"/>
      <c r="S28" s="226"/>
      <c r="T28" s="226">
        <v>1</v>
      </c>
      <c r="U28" s="226"/>
      <c r="V28" s="226"/>
      <c r="W28" s="226"/>
      <c r="X28" s="226"/>
      <c r="Y28" s="226"/>
      <c r="Z28" s="226">
        <v>1</v>
      </c>
      <c r="AA28" s="226">
        <v>1</v>
      </c>
      <c r="AB28" s="226">
        <v>1</v>
      </c>
      <c r="AC28" s="226"/>
      <c r="AD28" s="226"/>
      <c r="AE28" s="226"/>
      <c r="AF28" s="226"/>
      <c r="AG28" s="226"/>
      <c r="AH28" s="226"/>
      <c r="AI28" s="226"/>
      <c r="AJ28" s="226"/>
      <c r="AK28" s="226"/>
      <c r="AL28" s="226"/>
      <c r="AM28" s="226"/>
      <c r="AN28" s="226"/>
      <c r="AO28" s="223">
        <f t="shared" si="0"/>
        <v>0</v>
      </c>
      <c r="AP28" s="223" t="s">
        <v>180</v>
      </c>
      <c r="AQ28" s="226">
        <v>1</v>
      </c>
    </row>
    <row r="29" spans="2:43">
      <c r="B29" s="223">
        <v>25</v>
      </c>
      <c r="C29" s="221" t="s">
        <v>300</v>
      </c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  <c r="X29" s="226"/>
      <c r="Y29" s="226">
        <v>1</v>
      </c>
      <c r="Z29" s="226">
        <v>1</v>
      </c>
      <c r="AA29" s="226">
        <v>1</v>
      </c>
      <c r="AB29" s="226">
        <v>1</v>
      </c>
      <c r="AC29" s="226"/>
      <c r="AD29" s="226"/>
      <c r="AE29" s="226"/>
      <c r="AF29" s="226"/>
      <c r="AG29" s="226"/>
      <c r="AH29" s="226"/>
      <c r="AI29" s="226"/>
      <c r="AJ29" s="226">
        <v>1</v>
      </c>
      <c r="AK29" s="226">
        <v>1</v>
      </c>
      <c r="AL29" s="226"/>
      <c r="AM29" s="226"/>
      <c r="AN29" s="226"/>
      <c r="AO29" s="223">
        <f t="shared" si="0"/>
        <v>0</v>
      </c>
      <c r="AP29" s="223" t="s">
        <v>180</v>
      </c>
      <c r="AQ29" s="226">
        <v>1</v>
      </c>
    </row>
    <row r="30" spans="2:43">
      <c r="B30" s="223">
        <v>26</v>
      </c>
      <c r="C30" s="221" t="s">
        <v>301</v>
      </c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>
        <v>1</v>
      </c>
      <c r="V30" s="226"/>
      <c r="W30" s="226"/>
      <c r="X30" s="226"/>
      <c r="Y30" s="226"/>
      <c r="Z30" s="226"/>
      <c r="AA30" s="226"/>
      <c r="AB30" s="226"/>
      <c r="AC30" s="226">
        <v>1</v>
      </c>
      <c r="AD30" s="226">
        <v>1</v>
      </c>
      <c r="AE30" s="226"/>
      <c r="AF30" s="226">
        <v>1</v>
      </c>
      <c r="AG30" s="226"/>
      <c r="AH30" s="226"/>
      <c r="AI30" s="226"/>
      <c r="AJ30" s="226"/>
      <c r="AK30" s="226"/>
      <c r="AL30" s="226"/>
      <c r="AM30" s="226"/>
      <c r="AN30" s="226"/>
      <c r="AO30" s="223">
        <f t="shared" si="0"/>
        <v>0</v>
      </c>
      <c r="AP30" s="223" t="s">
        <v>180</v>
      </c>
      <c r="AQ30" s="226">
        <v>1</v>
      </c>
    </row>
    <row r="31" spans="2:43">
      <c r="B31" s="223">
        <v>27</v>
      </c>
      <c r="C31" s="221" t="s">
        <v>302</v>
      </c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226"/>
      <c r="AA31" s="226"/>
      <c r="AB31" s="226"/>
      <c r="AC31" s="226">
        <v>1</v>
      </c>
      <c r="AD31" s="226">
        <v>1</v>
      </c>
      <c r="AE31" s="226">
        <v>1</v>
      </c>
      <c r="AF31" s="226">
        <v>1</v>
      </c>
      <c r="AG31" s="226">
        <v>1</v>
      </c>
      <c r="AH31" s="226"/>
      <c r="AI31" s="226"/>
      <c r="AJ31" s="226"/>
      <c r="AK31" s="226"/>
      <c r="AL31" s="226"/>
      <c r="AM31" s="226"/>
      <c r="AN31" s="226"/>
      <c r="AO31" s="223">
        <f t="shared" si="0"/>
        <v>0</v>
      </c>
      <c r="AP31" s="223" t="s">
        <v>180</v>
      </c>
      <c r="AQ31" s="226">
        <v>1</v>
      </c>
    </row>
    <row r="32" spans="2:43">
      <c r="B32" s="223">
        <v>28</v>
      </c>
      <c r="C32" s="221" t="s">
        <v>303</v>
      </c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226"/>
      <c r="AA32" s="226"/>
      <c r="AB32" s="226"/>
      <c r="AC32" s="226"/>
      <c r="AD32" s="226">
        <v>1</v>
      </c>
      <c r="AE32" s="226">
        <v>1</v>
      </c>
      <c r="AF32" s="226"/>
      <c r="AG32" s="226">
        <v>1</v>
      </c>
      <c r="AH32" s="226"/>
      <c r="AI32" s="226"/>
      <c r="AJ32" s="226"/>
      <c r="AK32" s="226"/>
      <c r="AL32" s="226"/>
      <c r="AM32" s="226"/>
      <c r="AN32" s="226"/>
      <c r="AO32" s="223">
        <f t="shared" si="0"/>
        <v>0</v>
      </c>
      <c r="AP32" s="223" t="s">
        <v>180</v>
      </c>
      <c r="AQ32" s="226">
        <v>1</v>
      </c>
    </row>
    <row r="33" spans="2:45">
      <c r="B33" s="223">
        <v>29</v>
      </c>
      <c r="C33" s="221" t="s">
        <v>304</v>
      </c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>
        <v>1</v>
      </c>
      <c r="V33" s="226"/>
      <c r="W33" s="226"/>
      <c r="X33" s="226"/>
      <c r="Y33" s="226">
        <v>1</v>
      </c>
      <c r="Z33" s="226"/>
      <c r="AA33" s="226"/>
      <c r="AB33" s="226"/>
      <c r="AC33" s="226">
        <v>1</v>
      </c>
      <c r="AD33" s="226">
        <v>1</v>
      </c>
      <c r="AE33" s="226"/>
      <c r="AF33" s="226">
        <v>1</v>
      </c>
      <c r="AG33" s="226">
        <v>1</v>
      </c>
      <c r="AH33" s="226">
        <v>1</v>
      </c>
      <c r="AI33" s="226">
        <v>1</v>
      </c>
      <c r="AJ33" s="226"/>
      <c r="AK33" s="226"/>
      <c r="AL33" s="226"/>
      <c r="AM33" s="226"/>
      <c r="AN33" s="226"/>
      <c r="AO33" s="223">
        <f t="shared" si="0"/>
        <v>0</v>
      </c>
      <c r="AP33" s="223" t="s">
        <v>180</v>
      </c>
      <c r="AQ33" s="226">
        <v>1</v>
      </c>
    </row>
    <row r="34" spans="2:45">
      <c r="B34" s="223">
        <v>30</v>
      </c>
      <c r="C34" s="221" t="s">
        <v>305</v>
      </c>
      <c r="D34" s="226"/>
      <c r="E34" s="226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26"/>
      <c r="AD34" s="226">
        <v>1</v>
      </c>
      <c r="AE34" s="226">
        <v>1</v>
      </c>
      <c r="AF34" s="226">
        <v>1</v>
      </c>
      <c r="AG34" s="226">
        <v>1</v>
      </c>
      <c r="AH34" s="226"/>
      <c r="AI34" s="226">
        <v>1</v>
      </c>
      <c r="AJ34" s="226"/>
      <c r="AK34" s="226"/>
      <c r="AL34" s="226"/>
      <c r="AM34" s="226"/>
      <c r="AN34" s="226"/>
      <c r="AO34" s="223">
        <f t="shared" si="0"/>
        <v>0</v>
      </c>
      <c r="AP34" s="223" t="s">
        <v>180</v>
      </c>
      <c r="AQ34" s="226">
        <v>1</v>
      </c>
    </row>
    <row r="35" spans="2:45">
      <c r="B35" s="223">
        <v>31</v>
      </c>
      <c r="C35" s="221" t="s">
        <v>306</v>
      </c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>
        <v>1</v>
      </c>
      <c r="Z35" s="226"/>
      <c r="AA35" s="226"/>
      <c r="AB35" s="226"/>
      <c r="AC35" s="226"/>
      <c r="AD35" s="226"/>
      <c r="AE35" s="226"/>
      <c r="AF35" s="226">
        <v>1</v>
      </c>
      <c r="AG35" s="226"/>
      <c r="AH35" s="226">
        <v>1</v>
      </c>
      <c r="AI35" s="226">
        <v>1</v>
      </c>
      <c r="AJ35" s="226">
        <v>1</v>
      </c>
      <c r="AK35" s="226"/>
      <c r="AL35" s="226"/>
      <c r="AM35" s="226"/>
      <c r="AN35" s="226"/>
      <c r="AO35" s="223">
        <f t="shared" si="0"/>
        <v>0</v>
      </c>
      <c r="AP35" s="223" t="s">
        <v>180</v>
      </c>
      <c r="AQ35" s="226">
        <v>1</v>
      </c>
    </row>
    <row r="36" spans="2:45">
      <c r="B36" s="223">
        <v>32</v>
      </c>
      <c r="C36" s="221" t="s">
        <v>307</v>
      </c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>
        <v>1</v>
      </c>
      <c r="AG36" s="226">
        <v>1</v>
      </c>
      <c r="AH36" s="226">
        <v>1</v>
      </c>
      <c r="AI36" s="226">
        <v>1</v>
      </c>
      <c r="AJ36" s="226">
        <v>1</v>
      </c>
      <c r="AK36" s="226"/>
      <c r="AL36" s="226">
        <v>1</v>
      </c>
      <c r="AM36" s="226">
        <v>1</v>
      </c>
      <c r="AN36" s="226">
        <v>1</v>
      </c>
      <c r="AO36" s="223">
        <f t="shared" si="0"/>
        <v>0</v>
      </c>
      <c r="AP36" s="223" t="s">
        <v>180</v>
      </c>
      <c r="AQ36" s="226">
        <v>1</v>
      </c>
    </row>
    <row r="37" spans="2:45">
      <c r="B37" s="223">
        <v>33</v>
      </c>
      <c r="C37" s="221" t="s">
        <v>308</v>
      </c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>
        <v>1</v>
      </c>
      <c r="Z37" s="226"/>
      <c r="AA37" s="226"/>
      <c r="AB37" s="226">
        <v>1</v>
      </c>
      <c r="AC37" s="226"/>
      <c r="AD37" s="226"/>
      <c r="AE37" s="226"/>
      <c r="AF37" s="226"/>
      <c r="AG37" s="226"/>
      <c r="AH37" s="226">
        <v>1</v>
      </c>
      <c r="AI37" s="226">
        <v>1</v>
      </c>
      <c r="AJ37" s="226">
        <v>1</v>
      </c>
      <c r="AK37" s="226">
        <v>1</v>
      </c>
      <c r="AL37" s="226"/>
      <c r="AM37" s="226"/>
      <c r="AN37" s="226"/>
      <c r="AO37" s="223">
        <f t="shared" si="0"/>
        <v>0</v>
      </c>
      <c r="AP37" s="223" t="s">
        <v>180</v>
      </c>
      <c r="AQ37" s="226">
        <v>1</v>
      </c>
    </row>
    <row r="38" spans="2:45">
      <c r="B38" s="223">
        <v>34</v>
      </c>
      <c r="C38" s="221" t="s">
        <v>309</v>
      </c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>
        <v>1</v>
      </c>
      <c r="AC38" s="226"/>
      <c r="AD38" s="226"/>
      <c r="AE38" s="226"/>
      <c r="AF38" s="226"/>
      <c r="AG38" s="226"/>
      <c r="AH38" s="226"/>
      <c r="AI38" s="226"/>
      <c r="AJ38" s="226">
        <v>1</v>
      </c>
      <c r="AK38" s="226">
        <v>1</v>
      </c>
      <c r="AL38" s="226">
        <v>1</v>
      </c>
      <c r="AM38" s="226"/>
      <c r="AN38" s="226"/>
      <c r="AO38" s="223">
        <f t="shared" si="0"/>
        <v>0</v>
      </c>
      <c r="AP38" s="223" t="s">
        <v>180</v>
      </c>
      <c r="AQ38" s="226">
        <v>1</v>
      </c>
    </row>
    <row r="39" spans="2:45">
      <c r="B39" s="223">
        <v>35</v>
      </c>
      <c r="C39" s="221" t="s">
        <v>310</v>
      </c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26"/>
      <c r="AD39" s="226"/>
      <c r="AE39" s="226"/>
      <c r="AF39" s="226"/>
      <c r="AG39" s="226"/>
      <c r="AH39" s="226"/>
      <c r="AI39" s="226">
        <v>1</v>
      </c>
      <c r="AJ39" s="226"/>
      <c r="AK39" s="226">
        <v>1</v>
      </c>
      <c r="AL39" s="226">
        <v>1</v>
      </c>
      <c r="AM39" s="226">
        <v>1</v>
      </c>
      <c r="AN39" s="226"/>
      <c r="AO39" s="223">
        <f t="shared" si="0"/>
        <v>0</v>
      </c>
      <c r="AP39" s="223" t="s">
        <v>180</v>
      </c>
      <c r="AQ39" s="226">
        <v>1</v>
      </c>
    </row>
    <row r="40" spans="2:45">
      <c r="B40" s="223">
        <v>36</v>
      </c>
      <c r="C40" s="221" t="s">
        <v>311</v>
      </c>
      <c r="D40" s="226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>
        <v>1</v>
      </c>
      <c r="AJ40" s="226"/>
      <c r="AK40" s="226"/>
      <c r="AL40" s="226">
        <v>1</v>
      </c>
      <c r="AM40" s="226">
        <v>1</v>
      </c>
      <c r="AN40" s="226">
        <v>1</v>
      </c>
      <c r="AO40" s="223">
        <f t="shared" si="0"/>
        <v>0</v>
      </c>
      <c r="AP40" s="223" t="s">
        <v>180</v>
      </c>
      <c r="AQ40" s="226">
        <v>1</v>
      </c>
    </row>
    <row r="41" spans="2:45">
      <c r="B41" s="223">
        <v>37</v>
      </c>
      <c r="C41" s="222" t="s">
        <v>312</v>
      </c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>
        <v>1</v>
      </c>
      <c r="AJ41" s="226"/>
      <c r="AK41" s="226"/>
      <c r="AL41" s="226"/>
      <c r="AM41" s="226">
        <v>1</v>
      </c>
      <c r="AN41" s="226">
        <v>1</v>
      </c>
      <c r="AO41" s="223">
        <f t="shared" si="0"/>
        <v>0</v>
      </c>
      <c r="AP41" s="223" t="s">
        <v>180</v>
      </c>
      <c r="AQ41" s="226">
        <v>1</v>
      </c>
    </row>
    <row r="42" spans="2:45" ht="42">
      <c r="C42" s="222"/>
      <c r="D42" s="225">
        <f t="shared" ref="D42:AN42" si="1">VLOOKUP(D4,$AV$59:$AW$97,2,FALSE)</f>
        <v>64525</v>
      </c>
      <c r="E42" s="225">
        <f t="shared" si="1"/>
        <v>25953</v>
      </c>
      <c r="F42" s="225">
        <f t="shared" si="1"/>
        <v>67194</v>
      </c>
      <c r="G42" s="225">
        <f t="shared" si="1"/>
        <v>20984</v>
      </c>
      <c r="H42" s="225">
        <f t="shared" si="1"/>
        <v>3824</v>
      </c>
      <c r="I42" s="225">
        <f t="shared" si="1"/>
        <v>231969</v>
      </c>
      <c r="J42" s="225">
        <f t="shared" si="1"/>
        <v>49405</v>
      </c>
      <c r="K42" s="225">
        <f t="shared" si="1"/>
        <v>207355</v>
      </c>
      <c r="L42" s="225">
        <f t="shared" si="1"/>
        <v>166814</v>
      </c>
      <c r="M42" s="225">
        <f t="shared" si="1"/>
        <v>102979</v>
      </c>
      <c r="N42" s="225">
        <f t="shared" si="1"/>
        <v>606024</v>
      </c>
      <c r="O42" s="225">
        <f t="shared" si="1"/>
        <v>1737034</v>
      </c>
      <c r="P42" s="225">
        <f t="shared" si="1"/>
        <v>700820</v>
      </c>
      <c r="Q42" s="225">
        <f t="shared" si="1"/>
        <v>68600</v>
      </c>
      <c r="R42" s="225">
        <f t="shared" si="1"/>
        <v>92948</v>
      </c>
      <c r="S42" s="225">
        <f t="shared" si="1"/>
        <v>345238</v>
      </c>
      <c r="T42" s="225">
        <f t="shared" si="1"/>
        <v>9872</v>
      </c>
      <c r="U42" s="225">
        <f t="shared" si="1"/>
        <v>39564</v>
      </c>
      <c r="V42" s="225">
        <f t="shared" si="1"/>
        <v>66616</v>
      </c>
      <c r="W42" s="225">
        <f t="shared" si="1"/>
        <v>32603</v>
      </c>
      <c r="X42" s="225">
        <f t="shared" si="1"/>
        <v>33362</v>
      </c>
      <c r="Y42" s="225">
        <f t="shared" si="1"/>
        <v>74698</v>
      </c>
      <c r="Z42" s="225">
        <f t="shared" si="1"/>
        <v>222581</v>
      </c>
      <c r="AA42" s="225">
        <f t="shared" si="1"/>
        <v>19161</v>
      </c>
      <c r="AB42" s="225">
        <f t="shared" si="1"/>
        <v>142475</v>
      </c>
      <c r="AC42" s="225">
        <f t="shared" si="1"/>
        <v>7260</v>
      </c>
      <c r="AD42" s="225">
        <f t="shared" si="1"/>
        <v>40066</v>
      </c>
      <c r="AE42" s="225">
        <f t="shared" si="1"/>
        <v>11732</v>
      </c>
      <c r="AF42" s="225">
        <f t="shared" si="1"/>
        <v>10184</v>
      </c>
      <c r="AG42" s="225">
        <f t="shared" si="1"/>
        <v>417939</v>
      </c>
      <c r="AH42" s="225">
        <f t="shared" si="1"/>
        <v>16428</v>
      </c>
      <c r="AI42" s="225">
        <f t="shared" si="1"/>
        <v>40740</v>
      </c>
      <c r="AJ42" s="225">
        <f t="shared" si="1"/>
        <v>49347</v>
      </c>
      <c r="AK42" s="225">
        <f t="shared" si="1"/>
        <v>55180</v>
      </c>
      <c r="AL42" s="225">
        <f t="shared" si="1"/>
        <v>4064</v>
      </c>
      <c r="AM42" s="225">
        <f t="shared" si="1"/>
        <v>2397</v>
      </c>
      <c r="AN42" s="225">
        <f t="shared" si="1"/>
        <v>20551</v>
      </c>
    </row>
    <row r="43" spans="2:45" ht="12.75" thickBot="1">
      <c r="AQ43" s="233" t="s">
        <v>324</v>
      </c>
    </row>
    <row r="44" spans="2:45" ht="12.75" thickBot="1">
      <c r="C44" s="233" t="s">
        <v>318</v>
      </c>
      <c r="D44" s="234">
        <v>0</v>
      </c>
      <c r="E44" s="235">
        <v>0</v>
      </c>
      <c r="F44" s="235">
        <v>0</v>
      </c>
      <c r="G44" s="235">
        <v>0</v>
      </c>
      <c r="H44" s="235">
        <v>0</v>
      </c>
      <c r="I44" s="235">
        <v>0</v>
      </c>
      <c r="J44" s="235">
        <v>0</v>
      </c>
      <c r="K44" s="235">
        <v>0</v>
      </c>
      <c r="L44" s="235">
        <v>0</v>
      </c>
      <c r="M44" s="235">
        <v>0</v>
      </c>
      <c r="N44" s="235">
        <v>0</v>
      </c>
      <c r="O44" s="235">
        <v>0</v>
      </c>
      <c r="P44" s="235">
        <v>0</v>
      </c>
      <c r="Q44" s="235">
        <v>0</v>
      </c>
      <c r="R44" s="235">
        <v>0</v>
      </c>
      <c r="S44" s="235">
        <v>0</v>
      </c>
      <c r="T44" s="235">
        <v>0</v>
      </c>
      <c r="U44" s="235">
        <v>0</v>
      </c>
      <c r="V44" s="235">
        <v>0</v>
      </c>
      <c r="W44" s="235">
        <v>0</v>
      </c>
      <c r="X44" s="235">
        <v>0</v>
      </c>
      <c r="Y44" s="235">
        <v>0</v>
      </c>
      <c r="Z44" s="235">
        <v>0</v>
      </c>
      <c r="AA44" s="235">
        <v>0</v>
      </c>
      <c r="AB44" s="235">
        <v>0</v>
      </c>
      <c r="AC44" s="235">
        <v>0</v>
      </c>
      <c r="AD44" s="235">
        <v>0</v>
      </c>
      <c r="AE44" s="235">
        <v>0</v>
      </c>
      <c r="AF44" s="235">
        <v>0</v>
      </c>
      <c r="AG44" s="235">
        <v>0</v>
      </c>
      <c r="AH44" s="235">
        <v>0</v>
      </c>
      <c r="AI44" s="235">
        <v>0</v>
      </c>
      <c r="AJ44" s="235">
        <v>0</v>
      </c>
      <c r="AK44" s="235">
        <v>0</v>
      </c>
      <c r="AL44" s="235">
        <v>0</v>
      </c>
      <c r="AM44" s="235">
        <v>0</v>
      </c>
      <c r="AN44" s="236">
        <v>0</v>
      </c>
      <c r="AQ44" s="237">
        <f>SUM(Team?)</f>
        <v>0</v>
      </c>
      <c r="AR44" s="238">
        <f>SUMPRODUCT(D44:AN44,$D$42:$AN$42)</f>
        <v>0</v>
      </c>
    </row>
    <row r="47" spans="2:45"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  <c r="AA47" s="239"/>
      <c r="AB47" s="239"/>
      <c r="AC47" s="239"/>
      <c r="AD47" s="239"/>
      <c r="AE47" s="239"/>
      <c r="AF47" s="239"/>
      <c r="AG47" s="239"/>
      <c r="AH47" s="239"/>
      <c r="AI47" s="239"/>
      <c r="AJ47" s="239"/>
      <c r="AK47" s="239"/>
      <c r="AL47" s="239"/>
      <c r="AM47" s="239"/>
      <c r="AN47" s="239"/>
      <c r="AQ47" s="240">
        <f t="shared" ref="AQ47:AQ55" si="2">SUM(D47:AN47)</f>
        <v>0</v>
      </c>
      <c r="AR47" s="238">
        <f t="shared" ref="AR47:AR55" si="3">SUMPRODUCT(D47:AN47,$D$42:$AN$42)</f>
        <v>0</v>
      </c>
      <c r="AS47" s="241">
        <f>AR47/SUM($AW$59:$AW$97)</f>
        <v>0</v>
      </c>
    </row>
    <row r="48" spans="2:45">
      <c r="D48" s="239"/>
      <c r="E48" s="239"/>
      <c r="F48" s="239"/>
      <c r="G48" s="239"/>
      <c r="H48" s="239"/>
      <c r="I48" s="239"/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239"/>
      <c r="AA48" s="239"/>
      <c r="AB48" s="239"/>
      <c r="AC48" s="239"/>
      <c r="AD48" s="239"/>
      <c r="AE48" s="239"/>
      <c r="AF48" s="239"/>
      <c r="AG48" s="239"/>
      <c r="AH48" s="239"/>
      <c r="AI48" s="239"/>
      <c r="AJ48" s="239"/>
      <c r="AK48" s="239"/>
      <c r="AL48" s="239"/>
      <c r="AM48" s="239"/>
      <c r="AN48" s="239"/>
      <c r="AQ48" s="240">
        <f t="shared" si="2"/>
        <v>0</v>
      </c>
      <c r="AR48" s="238">
        <f t="shared" si="3"/>
        <v>0</v>
      </c>
      <c r="AS48" s="241">
        <f>AR48/SUM($AW$59:$AW$97)</f>
        <v>0</v>
      </c>
    </row>
    <row r="49" spans="1:49">
      <c r="D49" s="239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  <c r="AH49" s="239"/>
      <c r="AI49" s="239"/>
      <c r="AJ49" s="239"/>
      <c r="AK49" s="239"/>
      <c r="AL49" s="239"/>
      <c r="AM49" s="239"/>
      <c r="AN49" s="239"/>
      <c r="AQ49" s="240">
        <f t="shared" si="2"/>
        <v>0</v>
      </c>
      <c r="AR49" s="238">
        <f t="shared" si="3"/>
        <v>0</v>
      </c>
      <c r="AS49" s="241">
        <f>AR49/SUM($AW$59:$AW$97)</f>
        <v>0</v>
      </c>
    </row>
    <row r="50" spans="1:49">
      <c r="D50" s="239"/>
      <c r="E50" s="239"/>
      <c r="F50" s="239"/>
      <c r="G50" s="239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  <c r="AA50" s="239"/>
      <c r="AB50" s="239"/>
      <c r="AC50" s="239"/>
      <c r="AD50" s="239"/>
      <c r="AE50" s="239"/>
      <c r="AF50" s="239"/>
      <c r="AG50" s="239"/>
      <c r="AH50" s="239"/>
      <c r="AI50" s="239"/>
      <c r="AJ50" s="239"/>
      <c r="AK50" s="239"/>
      <c r="AL50" s="239"/>
      <c r="AM50" s="239"/>
      <c r="AN50" s="239"/>
      <c r="AQ50" s="240">
        <f t="shared" si="2"/>
        <v>0</v>
      </c>
      <c r="AR50" s="238">
        <f t="shared" si="3"/>
        <v>0</v>
      </c>
      <c r="AS50" s="241">
        <f>AR50/SUM($AW$59:$AW$97)</f>
        <v>0</v>
      </c>
    </row>
    <row r="51" spans="1:49">
      <c r="D51" s="242">
        <v>0</v>
      </c>
      <c r="E51" s="243">
        <v>0.99999999999766942</v>
      </c>
      <c r="F51" s="243">
        <v>0</v>
      </c>
      <c r="G51" s="243">
        <v>0</v>
      </c>
      <c r="H51" s="243">
        <v>0</v>
      </c>
      <c r="I51" s="243">
        <v>0</v>
      </c>
      <c r="J51" s="243">
        <v>0</v>
      </c>
      <c r="K51" s="243">
        <v>0</v>
      </c>
      <c r="L51" s="243">
        <v>0</v>
      </c>
      <c r="M51" s="243">
        <v>4.6611603465862572E-12</v>
      </c>
      <c r="N51" s="243">
        <v>0</v>
      </c>
      <c r="O51" s="243">
        <v>0</v>
      </c>
      <c r="P51" s="243">
        <v>0</v>
      </c>
      <c r="Q51" s="243">
        <v>0.99999999999300826</v>
      </c>
      <c r="R51" s="243">
        <v>0</v>
      </c>
      <c r="S51" s="243">
        <v>0</v>
      </c>
      <c r="T51" s="243">
        <v>0.99999999999533884</v>
      </c>
      <c r="U51" s="243">
        <v>0.99999999999067768</v>
      </c>
      <c r="V51" s="243">
        <v>0.9999999999883471</v>
      </c>
      <c r="W51" s="243">
        <v>0</v>
      </c>
      <c r="X51" s="243">
        <v>0</v>
      </c>
      <c r="Y51" s="243">
        <v>0</v>
      </c>
      <c r="Z51" s="243">
        <v>0</v>
      </c>
      <c r="AA51" s="243">
        <v>0</v>
      </c>
      <c r="AB51" s="243">
        <v>0.99999999999300804</v>
      </c>
      <c r="AC51" s="243">
        <v>0</v>
      </c>
      <c r="AD51" s="243">
        <v>0.99999999999533884</v>
      </c>
      <c r="AE51" s="243">
        <v>0</v>
      </c>
      <c r="AF51" s="243">
        <v>0</v>
      </c>
      <c r="AG51" s="243">
        <v>0</v>
      </c>
      <c r="AH51" s="243">
        <v>0</v>
      </c>
      <c r="AI51" s="243">
        <v>0.99999999999533917</v>
      </c>
      <c r="AJ51" s="243">
        <v>0</v>
      </c>
      <c r="AK51" s="243">
        <v>0</v>
      </c>
      <c r="AL51" s="243">
        <v>0</v>
      </c>
      <c r="AM51" s="243">
        <v>0</v>
      </c>
      <c r="AN51" s="244">
        <v>0</v>
      </c>
      <c r="AQ51" s="240">
        <f t="shared" si="2"/>
        <v>7.9999999999533884</v>
      </c>
      <c r="AR51" s="238">
        <f t="shared" si="3"/>
        <v>433885.999997376</v>
      </c>
      <c r="AS51" s="241">
        <f>AR51/SUM($AW$59:$AW$97)</f>
        <v>7.3613351337269123E-2</v>
      </c>
    </row>
    <row r="52" spans="1:49">
      <c r="D52" s="242">
        <v>1</v>
      </c>
      <c r="E52" s="243">
        <v>1.3877787807814463E-17</v>
      </c>
      <c r="F52" s="243">
        <v>1</v>
      </c>
      <c r="G52" s="243">
        <v>5.5511151231257827E-17</v>
      </c>
      <c r="H52" s="243">
        <v>0</v>
      </c>
      <c r="I52" s="243">
        <v>0</v>
      </c>
      <c r="J52" s="243">
        <v>0</v>
      </c>
      <c r="K52" s="243">
        <v>0</v>
      </c>
      <c r="L52" s="243">
        <v>0</v>
      </c>
      <c r="M52" s="243">
        <v>2.7755575615628914E-17</v>
      </c>
      <c r="N52" s="243">
        <v>1.5407439555097894E-33</v>
      </c>
      <c r="O52" s="243">
        <v>1</v>
      </c>
      <c r="P52" s="243">
        <v>0</v>
      </c>
      <c r="Q52" s="243">
        <v>1.3877787807814463E-17</v>
      </c>
      <c r="R52" s="243">
        <v>1</v>
      </c>
      <c r="S52" s="243">
        <v>0</v>
      </c>
      <c r="T52" s="243">
        <v>5.5511151231257827E-17</v>
      </c>
      <c r="U52" s="243">
        <v>1</v>
      </c>
      <c r="V52" s="243">
        <v>1.3877787807814463E-17</v>
      </c>
      <c r="W52" s="243">
        <v>0</v>
      </c>
      <c r="X52" s="243">
        <v>1.3877787807814452E-17</v>
      </c>
      <c r="Y52" s="243">
        <v>0</v>
      </c>
      <c r="Z52" s="243">
        <v>0</v>
      </c>
      <c r="AA52" s="243">
        <v>0</v>
      </c>
      <c r="AB52" s="243">
        <v>1</v>
      </c>
      <c r="AC52" s="243">
        <v>0</v>
      </c>
      <c r="AD52" s="243">
        <v>1</v>
      </c>
      <c r="AE52" s="243">
        <v>0</v>
      </c>
      <c r="AF52" s="243">
        <v>0</v>
      </c>
      <c r="AG52" s="243">
        <v>0</v>
      </c>
      <c r="AH52" s="243">
        <v>0</v>
      </c>
      <c r="AI52" s="243">
        <v>1</v>
      </c>
      <c r="AJ52" s="243">
        <v>4.163336342344337E-17</v>
      </c>
      <c r="AK52" s="243">
        <v>4.1633363423443358E-17</v>
      </c>
      <c r="AL52" s="243">
        <v>0</v>
      </c>
      <c r="AM52" s="243">
        <v>0</v>
      </c>
      <c r="AN52" s="244">
        <v>4.1633363423443358E-17</v>
      </c>
      <c r="AQ52" s="240">
        <f t="shared" si="2"/>
        <v>8</v>
      </c>
      <c r="AR52" s="238">
        <f t="shared" si="3"/>
        <v>2224546</v>
      </c>
      <c r="AS52" s="241">
        <f t="shared" ref="AS52:AS55" si="4">AR52/SUM($AW$59:$AW$97)</f>
        <v>0.37741776933320509</v>
      </c>
    </row>
    <row r="53" spans="1:49">
      <c r="A53" s="245"/>
      <c r="B53" s="246"/>
      <c r="C53" s="247"/>
      <c r="D53" s="242">
        <v>0</v>
      </c>
      <c r="E53" s="243">
        <v>1</v>
      </c>
      <c r="F53" s="243">
        <v>0</v>
      </c>
      <c r="G53" s="243">
        <v>0</v>
      </c>
      <c r="H53" s="243">
        <v>0</v>
      </c>
      <c r="I53" s="243">
        <v>0</v>
      </c>
      <c r="J53" s="243">
        <v>0</v>
      </c>
      <c r="K53" s="243">
        <v>0</v>
      </c>
      <c r="L53" s="243">
        <v>1</v>
      </c>
      <c r="M53" s="243">
        <v>0</v>
      </c>
      <c r="N53" s="243">
        <v>0</v>
      </c>
      <c r="O53" s="243">
        <v>0</v>
      </c>
      <c r="P53" s="243">
        <v>0</v>
      </c>
      <c r="Q53" s="243">
        <v>1</v>
      </c>
      <c r="R53" s="243">
        <v>1</v>
      </c>
      <c r="S53" s="243">
        <v>0</v>
      </c>
      <c r="T53" s="243">
        <v>0</v>
      </c>
      <c r="U53" s="243">
        <v>0</v>
      </c>
      <c r="V53" s="243">
        <v>1</v>
      </c>
      <c r="W53" s="243">
        <v>0</v>
      </c>
      <c r="X53" s="243">
        <v>0</v>
      </c>
      <c r="Y53" s="243">
        <v>0</v>
      </c>
      <c r="Z53" s="243">
        <v>0</v>
      </c>
      <c r="AA53" s="243">
        <v>0</v>
      </c>
      <c r="AB53" s="243">
        <v>1</v>
      </c>
      <c r="AC53" s="243">
        <v>0</v>
      </c>
      <c r="AD53" s="243">
        <v>1</v>
      </c>
      <c r="AE53" s="243">
        <v>0</v>
      </c>
      <c r="AF53" s="243">
        <v>0</v>
      </c>
      <c r="AG53" s="243">
        <v>0</v>
      </c>
      <c r="AH53" s="243">
        <v>0</v>
      </c>
      <c r="AI53" s="243">
        <v>1</v>
      </c>
      <c r="AJ53" s="243">
        <v>0</v>
      </c>
      <c r="AK53" s="243">
        <v>0</v>
      </c>
      <c r="AL53" s="243">
        <v>0</v>
      </c>
      <c r="AM53" s="243">
        <v>0</v>
      </c>
      <c r="AN53" s="244">
        <v>0</v>
      </c>
      <c r="AO53" s="245"/>
      <c r="AP53" s="245"/>
      <c r="AQ53" s="240">
        <f t="shared" si="2"/>
        <v>8</v>
      </c>
      <c r="AR53" s="238">
        <f t="shared" si="3"/>
        <v>644212</v>
      </c>
      <c r="AS53" s="241">
        <f t="shared" si="4"/>
        <v>0.10929738293462249</v>
      </c>
    </row>
    <row r="54" spans="1:49">
      <c r="A54" s="245"/>
      <c r="B54" s="246"/>
      <c r="C54" s="247"/>
      <c r="D54" s="242">
        <v>0</v>
      </c>
      <c r="E54" s="243">
        <v>0.99999999999766942</v>
      </c>
      <c r="F54" s="243">
        <v>0</v>
      </c>
      <c r="G54" s="243">
        <v>0</v>
      </c>
      <c r="H54" s="243">
        <v>0</v>
      </c>
      <c r="I54" s="243">
        <v>0</v>
      </c>
      <c r="J54" s="243">
        <v>0</v>
      </c>
      <c r="K54" s="243">
        <v>0</v>
      </c>
      <c r="L54" s="243">
        <v>0</v>
      </c>
      <c r="M54" s="243">
        <v>0.99999999999300837</v>
      </c>
      <c r="N54" s="243">
        <v>3.9747649616117542E-11</v>
      </c>
      <c r="O54" s="243">
        <v>0</v>
      </c>
      <c r="P54" s="243">
        <v>0</v>
      </c>
      <c r="Q54" s="243">
        <v>0.99999999999300826</v>
      </c>
      <c r="R54" s="243">
        <v>0</v>
      </c>
      <c r="S54" s="243">
        <v>0</v>
      </c>
      <c r="T54" s="243">
        <v>0.99999999999533884</v>
      </c>
      <c r="U54" s="243">
        <v>2.3304691509906661E-12</v>
      </c>
      <c r="V54" s="243">
        <v>0</v>
      </c>
      <c r="W54" s="243">
        <v>0</v>
      </c>
      <c r="X54" s="243">
        <v>0.99999999998645728</v>
      </c>
      <c r="Y54" s="243">
        <v>0</v>
      </c>
      <c r="Z54" s="243">
        <v>0</v>
      </c>
      <c r="AA54" s="243">
        <v>0</v>
      </c>
      <c r="AB54" s="243">
        <v>4.6613823911709939E-12</v>
      </c>
      <c r="AC54" s="243">
        <v>0</v>
      </c>
      <c r="AD54" s="243">
        <v>0.99999999999100819</v>
      </c>
      <c r="AE54" s="243">
        <v>8.991807298741607E-12</v>
      </c>
      <c r="AF54" s="243">
        <v>0</v>
      </c>
      <c r="AG54" s="243">
        <v>0</v>
      </c>
      <c r="AH54" s="243">
        <v>0</v>
      </c>
      <c r="AI54" s="243">
        <v>1</v>
      </c>
      <c r="AJ54" s="243">
        <v>0.99999999999533862</v>
      </c>
      <c r="AK54" s="243">
        <v>0</v>
      </c>
      <c r="AL54" s="243">
        <v>0</v>
      </c>
      <c r="AM54" s="243">
        <v>0</v>
      </c>
      <c r="AN54" s="244">
        <v>0</v>
      </c>
      <c r="AO54" s="248"/>
      <c r="AP54" s="245"/>
      <c r="AQ54" s="240">
        <f t="shared" si="2"/>
        <v>8.0000000000075602</v>
      </c>
      <c r="AR54" s="238">
        <f t="shared" si="3"/>
        <v>370919.00002260163</v>
      </c>
      <c r="AS54" s="241">
        <f t="shared" si="4"/>
        <v>6.2930333466618957E-2</v>
      </c>
    </row>
    <row r="55" spans="1:49">
      <c r="A55" s="245"/>
      <c r="B55" s="246"/>
      <c r="C55" s="247"/>
      <c r="D55" s="242">
        <v>0</v>
      </c>
      <c r="E55" s="243">
        <v>0.9999999999976692</v>
      </c>
      <c r="F55" s="243">
        <v>0.99999999998878752</v>
      </c>
      <c r="G55" s="243">
        <v>0</v>
      </c>
      <c r="H55" s="243">
        <v>2.2204460492477254E-16</v>
      </c>
      <c r="I55" s="243">
        <v>0</v>
      </c>
      <c r="J55" s="243">
        <v>0</v>
      </c>
      <c r="K55" s="243">
        <v>0</v>
      </c>
      <c r="L55" s="243">
        <v>0</v>
      </c>
      <c r="M55" s="243">
        <v>1</v>
      </c>
      <c r="N55" s="243">
        <v>0</v>
      </c>
      <c r="O55" s="243">
        <v>0</v>
      </c>
      <c r="P55" s="243">
        <v>0</v>
      </c>
      <c r="Q55" s="243">
        <v>0</v>
      </c>
      <c r="R55" s="243">
        <v>0.99999999998878752</v>
      </c>
      <c r="S55" s="243">
        <v>0</v>
      </c>
      <c r="T55" s="243">
        <v>2.2204460492503131E-16</v>
      </c>
      <c r="U55" s="243">
        <v>1.1102230246251565E-16</v>
      </c>
      <c r="V55" s="243">
        <v>0</v>
      </c>
      <c r="W55" s="243">
        <v>0</v>
      </c>
      <c r="X55" s="243">
        <v>0.99999999998878764</v>
      </c>
      <c r="Y55" s="243">
        <v>1.1102230246204726E-16</v>
      </c>
      <c r="Z55" s="243">
        <v>9.8607613152459513E-32</v>
      </c>
      <c r="AA55" s="243">
        <v>9.9920070688773312E-16</v>
      </c>
      <c r="AB55" s="243">
        <v>0.99999999999766842</v>
      </c>
      <c r="AC55" s="243">
        <v>0</v>
      </c>
      <c r="AD55" s="243">
        <v>0.99999999999766909</v>
      </c>
      <c r="AE55" s="243">
        <v>0</v>
      </c>
      <c r="AF55" s="243">
        <v>3.3306690738801559E-16</v>
      </c>
      <c r="AG55" s="243">
        <v>0</v>
      </c>
      <c r="AH55" s="243">
        <v>0</v>
      </c>
      <c r="AI55" s="243">
        <v>0.99999999999766975</v>
      </c>
      <c r="AJ55" s="243">
        <v>0</v>
      </c>
      <c r="AK55" s="243">
        <v>6.1062266353978668E-16</v>
      </c>
      <c r="AL55" s="243">
        <v>3.3306689211217061E-16</v>
      </c>
      <c r="AM55" s="243">
        <v>0</v>
      </c>
      <c r="AN55" s="244">
        <v>0</v>
      </c>
      <c r="AO55" s="245"/>
      <c r="AP55" s="245"/>
      <c r="AQ55" s="240">
        <f t="shared" si="2"/>
        <v>7.9999999999570415</v>
      </c>
      <c r="AR55" s="238">
        <f t="shared" si="3"/>
        <v>545716.99999724934</v>
      </c>
      <c r="AS55" s="241">
        <f t="shared" si="4"/>
        <v>9.2586663897339286E-2</v>
      </c>
    </row>
    <row r="56" spans="1:49">
      <c r="A56" s="245"/>
      <c r="B56" s="246"/>
      <c r="C56" s="247"/>
      <c r="D56" s="245"/>
      <c r="E56" s="245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45"/>
      <c r="AB56" s="245"/>
      <c r="AC56" s="245"/>
      <c r="AD56" s="245"/>
      <c r="AE56" s="245"/>
      <c r="AF56" s="245"/>
      <c r="AG56" s="245"/>
      <c r="AH56" s="245"/>
      <c r="AI56" s="245"/>
      <c r="AJ56" s="245"/>
      <c r="AK56" s="245"/>
      <c r="AL56" s="245"/>
      <c r="AM56" s="245"/>
      <c r="AN56" s="245"/>
      <c r="AO56" s="245"/>
      <c r="AP56" s="245"/>
      <c r="AQ56" s="245"/>
      <c r="AR56" s="245"/>
    </row>
    <row r="57" spans="1:49">
      <c r="A57" s="245"/>
      <c r="B57" s="246"/>
      <c r="C57" s="247"/>
      <c r="D57" s="245"/>
      <c r="E57" s="245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U57" s="245"/>
      <c r="V57" s="245"/>
      <c r="W57" s="245"/>
      <c r="X57" s="245"/>
      <c r="Y57" s="245"/>
      <c r="Z57" s="245"/>
      <c r="AA57" s="245"/>
      <c r="AB57" s="245"/>
      <c r="AC57" s="245"/>
      <c r="AD57" s="245"/>
      <c r="AE57" s="245"/>
      <c r="AF57" s="245"/>
      <c r="AG57" s="245"/>
      <c r="AH57" s="245"/>
      <c r="AI57" s="245"/>
      <c r="AJ57" s="245"/>
      <c r="AK57" s="245"/>
      <c r="AL57" s="245"/>
      <c r="AM57" s="245"/>
      <c r="AN57" s="245"/>
      <c r="AO57" s="245"/>
      <c r="AP57" s="245"/>
      <c r="AQ57" s="245"/>
      <c r="AR57" s="245"/>
    </row>
    <row r="58" spans="1:49">
      <c r="A58" s="245"/>
      <c r="B58" s="246"/>
      <c r="C58" s="247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245"/>
      <c r="AL58" s="245"/>
      <c r="AM58" s="245"/>
      <c r="AN58" s="245"/>
      <c r="AO58" s="245"/>
      <c r="AP58" s="245"/>
      <c r="AQ58" s="245"/>
      <c r="AR58" s="245"/>
    </row>
    <row r="59" spans="1:49">
      <c r="A59" s="245"/>
      <c r="B59" s="246"/>
      <c r="C59" s="247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  <c r="AQ59" s="245"/>
      <c r="AR59" s="245"/>
      <c r="AT59" s="222" t="s">
        <v>325</v>
      </c>
      <c r="AV59" s="222" t="str">
        <f>SUBSTITUTE(AT59," County, Washington","",1)</f>
        <v>King</v>
      </c>
      <c r="AW59" s="222">
        <v>1737034</v>
      </c>
    </row>
    <row r="60" spans="1:49">
      <c r="A60" s="245"/>
      <c r="B60" s="246"/>
      <c r="C60" s="247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  <c r="AQ60" s="245"/>
      <c r="AR60" s="245"/>
      <c r="AT60" s="222" t="s">
        <v>326</v>
      </c>
      <c r="AV60" s="222" t="str">
        <f t="shared" ref="AV60:AV97" si="5">SUBSTITUTE(AT60," County, Washington","",1)</f>
        <v>Pierce</v>
      </c>
      <c r="AW60" s="222">
        <v>700820</v>
      </c>
    </row>
    <row r="61" spans="1:49">
      <c r="A61" s="245"/>
      <c r="B61" s="246"/>
      <c r="C61" s="247"/>
      <c r="D61" s="245"/>
      <c r="E61" s="245"/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45"/>
      <c r="AA61" s="245"/>
      <c r="AB61" s="245"/>
      <c r="AC61" s="245"/>
      <c r="AD61" s="245"/>
      <c r="AE61" s="245"/>
      <c r="AF61" s="245"/>
      <c r="AG61" s="245"/>
      <c r="AH61" s="245"/>
      <c r="AI61" s="245"/>
      <c r="AJ61" s="245"/>
      <c r="AK61" s="245"/>
      <c r="AL61" s="245"/>
      <c r="AM61" s="245"/>
      <c r="AN61" s="245"/>
      <c r="AO61" s="245"/>
      <c r="AP61" s="245"/>
      <c r="AQ61" s="245"/>
      <c r="AR61" s="245"/>
      <c r="AT61" s="222" t="s">
        <v>327</v>
      </c>
      <c r="AV61" s="222" t="str">
        <f t="shared" si="5"/>
        <v>Snohomish</v>
      </c>
      <c r="AW61" s="222">
        <v>606024</v>
      </c>
    </row>
    <row r="62" spans="1:49">
      <c r="A62" s="245"/>
      <c r="B62" s="246"/>
      <c r="C62" s="247"/>
      <c r="D62" s="245"/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45"/>
      <c r="AB62" s="245"/>
      <c r="AC62" s="245"/>
      <c r="AD62" s="245"/>
      <c r="AE62" s="245"/>
      <c r="AF62" s="245"/>
      <c r="AG62" s="245"/>
      <c r="AH62" s="245"/>
      <c r="AI62" s="245"/>
      <c r="AJ62" s="245"/>
      <c r="AK62" s="245"/>
      <c r="AL62" s="245"/>
      <c r="AM62" s="245"/>
      <c r="AN62" s="245"/>
      <c r="AO62" s="245"/>
      <c r="AP62" s="245"/>
      <c r="AQ62" s="245"/>
      <c r="AR62" s="245"/>
      <c r="AT62" s="222" t="s">
        <v>328</v>
      </c>
      <c r="AV62" s="222" t="str">
        <f t="shared" si="5"/>
        <v>Spokane</v>
      </c>
      <c r="AW62" s="222">
        <v>417939</v>
      </c>
    </row>
    <row r="63" spans="1:49">
      <c r="A63" s="245"/>
      <c r="B63" s="246"/>
      <c r="C63" s="247"/>
      <c r="D63" s="245"/>
      <c r="E63" s="245"/>
      <c r="F63" s="245"/>
      <c r="G63" s="245"/>
      <c r="H63" s="245"/>
      <c r="I63" s="245"/>
      <c r="J63" s="245"/>
      <c r="K63" s="245"/>
      <c r="L63" s="245"/>
      <c r="M63" s="245"/>
      <c r="N63" s="245"/>
      <c r="O63" s="245"/>
      <c r="P63" s="245"/>
      <c r="Q63" s="245"/>
      <c r="R63" s="245"/>
      <c r="S63" s="245"/>
      <c r="T63" s="245"/>
      <c r="U63" s="245"/>
      <c r="V63" s="245"/>
      <c r="W63" s="245"/>
      <c r="X63" s="245"/>
      <c r="Y63" s="245"/>
      <c r="Z63" s="245"/>
      <c r="AA63" s="245"/>
      <c r="AB63" s="245"/>
      <c r="AC63" s="245"/>
      <c r="AD63" s="245"/>
      <c r="AE63" s="245"/>
      <c r="AF63" s="245"/>
      <c r="AG63" s="245"/>
      <c r="AH63" s="245"/>
      <c r="AI63" s="245"/>
      <c r="AJ63" s="245"/>
      <c r="AK63" s="245"/>
      <c r="AL63" s="245"/>
      <c r="AM63" s="245"/>
      <c r="AN63" s="245"/>
      <c r="AO63" s="245"/>
      <c r="AP63" s="245"/>
      <c r="AQ63" s="245"/>
      <c r="AR63" s="245"/>
      <c r="AT63" s="222" t="s">
        <v>329</v>
      </c>
      <c r="AV63" s="222" t="str">
        <f t="shared" si="5"/>
        <v>Clark</v>
      </c>
      <c r="AW63" s="222">
        <v>345238</v>
      </c>
    </row>
    <row r="64" spans="1:49">
      <c r="A64" s="245"/>
      <c r="B64" s="246"/>
      <c r="C64" s="247"/>
      <c r="D64" s="245"/>
      <c r="E64" s="245"/>
      <c r="F64" s="245"/>
      <c r="G64" s="245"/>
      <c r="H64" s="245"/>
      <c r="I64" s="245"/>
      <c r="J64" s="245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45"/>
      <c r="AA64" s="245"/>
      <c r="AB64" s="245"/>
      <c r="AC64" s="245"/>
      <c r="AD64" s="245"/>
      <c r="AE64" s="245"/>
      <c r="AF64" s="245"/>
      <c r="AG64" s="245"/>
      <c r="AH64" s="245"/>
      <c r="AI64" s="245"/>
      <c r="AJ64" s="245"/>
      <c r="AK64" s="245"/>
      <c r="AL64" s="245"/>
      <c r="AM64" s="245"/>
      <c r="AN64" s="245"/>
      <c r="AO64" s="245"/>
      <c r="AP64" s="245"/>
      <c r="AQ64" s="245"/>
      <c r="AR64" s="245"/>
      <c r="AT64" s="222" t="s">
        <v>330</v>
      </c>
      <c r="AV64" s="222" t="str">
        <f t="shared" si="5"/>
        <v>Kitsap</v>
      </c>
      <c r="AW64" s="222">
        <v>231969</v>
      </c>
    </row>
    <row r="65" spans="1:49">
      <c r="A65" s="245"/>
      <c r="B65" s="246"/>
      <c r="C65" s="247"/>
      <c r="D65" s="245"/>
      <c r="E65" s="245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45"/>
      <c r="AB65" s="245"/>
      <c r="AC65" s="245"/>
      <c r="AD65" s="245"/>
      <c r="AE65" s="245"/>
      <c r="AF65" s="245"/>
      <c r="AG65" s="245"/>
      <c r="AH65" s="245"/>
      <c r="AI65" s="245"/>
      <c r="AJ65" s="245"/>
      <c r="AK65" s="245"/>
      <c r="AL65" s="245"/>
      <c r="AM65" s="245"/>
      <c r="AN65" s="245"/>
      <c r="AO65" s="245"/>
      <c r="AP65" s="245"/>
      <c r="AQ65" s="245"/>
      <c r="AR65" s="245"/>
      <c r="AT65" s="222" t="s">
        <v>331</v>
      </c>
      <c r="AV65" s="222" t="str">
        <f t="shared" si="5"/>
        <v>Yakima</v>
      </c>
      <c r="AW65" s="222">
        <v>222581</v>
      </c>
    </row>
    <row r="66" spans="1:49">
      <c r="A66" s="245"/>
      <c r="B66" s="246"/>
      <c r="C66" s="247"/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45"/>
      <c r="AA66" s="245"/>
      <c r="AB66" s="245"/>
      <c r="AC66" s="245"/>
      <c r="AD66" s="245"/>
      <c r="AE66" s="245"/>
      <c r="AF66" s="245"/>
      <c r="AG66" s="245"/>
      <c r="AH66" s="245"/>
      <c r="AI66" s="245"/>
      <c r="AJ66" s="245"/>
      <c r="AK66" s="245"/>
      <c r="AL66" s="245"/>
      <c r="AM66" s="245"/>
      <c r="AN66" s="245"/>
      <c r="AO66" s="245"/>
      <c r="AP66" s="245"/>
      <c r="AQ66" s="245"/>
      <c r="AR66" s="245"/>
      <c r="AT66" s="222" t="s">
        <v>332</v>
      </c>
      <c r="AV66" s="222" t="str">
        <f t="shared" si="5"/>
        <v>Thurston</v>
      </c>
      <c r="AW66" s="222">
        <v>207355</v>
      </c>
    </row>
    <row r="67" spans="1:49">
      <c r="A67" s="245"/>
      <c r="B67" s="246"/>
      <c r="C67" s="247"/>
      <c r="D67" s="245"/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5"/>
      <c r="AB67" s="245"/>
      <c r="AC67" s="245"/>
      <c r="AD67" s="245"/>
      <c r="AE67" s="245"/>
      <c r="AF67" s="245"/>
      <c r="AG67" s="245"/>
      <c r="AH67" s="245"/>
      <c r="AI67" s="245"/>
      <c r="AJ67" s="245"/>
      <c r="AK67" s="245"/>
      <c r="AL67" s="245"/>
      <c r="AM67" s="245"/>
      <c r="AN67" s="245"/>
      <c r="AO67" s="245"/>
      <c r="AP67" s="245"/>
      <c r="AQ67" s="245"/>
      <c r="AR67" s="245"/>
      <c r="AT67" s="222" t="s">
        <v>333</v>
      </c>
      <c r="AV67" s="222" t="str">
        <f t="shared" si="5"/>
        <v>Whatcom</v>
      </c>
      <c r="AW67" s="222">
        <v>166814</v>
      </c>
    </row>
    <row r="68" spans="1:49">
      <c r="A68" s="245"/>
      <c r="B68" s="246"/>
      <c r="C68" s="247"/>
      <c r="D68" s="245"/>
      <c r="E68" s="245"/>
      <c r="F68" s="245"/>
      <c r="G68" s="245"/>
      <c r="H68" s="245"/>
      <c r="I68" s="245"/>
      <c r="J68" s="245"/>
      <c r="K68" s="245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45"/>
      <c r="AA68" s="245"/>
      <c r="AB68" s="245"/>
      <c r="AC68" s="245"/>
      <c r="AD68" s="245"/>
      <c r="AE68" s="245"/>
      <c r="AF68" s="245"/>
      <c r="AG68" s="245"/>
      <c r="AH68" s="245"/>
      <c r="AI68" s="245"/>
      <c r="AJ68" s="245"/>
      <c r="AK68" s="245"/>
      <c r="AL68" s="245"/>
      <c r="AM68" s="245"/>
      <c r="AN68" s="245"/>
      <c r="AO68" s="245"/>
      <c r="AP68" s="245"/>
      <c r="AQ68" s="245"/>
      <c r="AR68" s="245"/>
      <c r="AT68" s="222" t="s">
        <v>334</v>
      </c>
      <c r="AV68" s="222" t="str">
        <f t="shared" si="5"/>
        <v>Benton</v>
      </c>
      <c r="AW68" s="222">
        <v>142475</v>
      </c>
    </row>
    <row r="69" spans="1:49">
      <c r="A69" s="245"/>
      <c r="B69" s="246"/>
      <c r="C69" s="247"/>
      <c r="D69" s="245"/>
      <c r="E69" s="245"/>
      <c r="F69" s="245"/>
      <c r="G69" s="245"/>
      <c r="H69" s="245"/>
      <c r="I69" s="245"/>
      <c r="J69" s="245"/>
      <c r="K69" s="245"/>
      <c r="L69" s="245"/>
      <c r="M69" s="245"/>
      <c r="N69" s="245"/>
      <c r="O69" s="245"/>
      <c r="P69" s="245"/>
      <c r="Q69" s="245"/>
      <c r="R69" s="245"/>
      <c r="S69" s="245"/>
      <c r="T69" s="245"/>
      <c r="U69" s="245"/>
      <c r="V69" s="245"/>
      <c r="W69" s="245"/>
      <c r="X69" s="245"/>
      <c r="Y69" s="245"/>
      <c r="Z69" s="245"/>
      <c r="AA69" s="245"/>
      <c r="AB69" s="245"/>
      <c r="AC69" s="245"/>
      <c r="AD69" s="245"/>
      <c r="AE69" s="245"/>
      <c r="AF69" s="245"/>
      <c r="AG69" s="245"/>
      <c r="AH69" s="245"/>
      <c r="AI69" s="245"/>
      <c r="AJ69" s="245"/>
      <c r="AK69" s="245"/>
      <c r="AL69" s="245"/>
      <c r="AM69" s="245"/>
      <c r="AN69" s="245"/>
      <c r="AO69" s="245"/>
      <c r="AP69" s="245"/>
      <c r="AQ69" s="245"/>
      <c r="AR69" s="245"/>
      <c r="AT69" s="222" t="s">
        <v>335</v>
      </c>
      <c r="AV69" s="222" t="str">
        <f t="shared" si="5"/>
        <v>Skagit</v>
      </c>
      <c r="AW69" s="222">
        <v>102979</v>
      </c>
    </row>
    <row r="70" spans="1:49">
      <c r="A70" s="245"/>
      <c r="B70" s="246"/>
      <c r="C70" s="247"/>
      <c r="D70" s="245"/>
      <c r="E70" s="245"/>
      <c r="F70" s="245"/>
      <c r="G70" s="245"/>
      <c r="H70" s="245"/>
      <c r="I70" s="245"/>
      <c r="J70" s="245"/>
      <c r="K70" s="245"/>
      <c r="L70" s="245"/>
      <c r="M70" s="245"/>
      <c r="N70" s="245"/>
      <c r="O70" s="245"/>
      <c r="P70" s="245"/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45"/>
      <c r="AB70" s="245"/>
      <c r="AC70" s="245"/>
      <c r="AD70" s="245"/>
      <c r="AE70" s="245"/>
      <c r="AF70" s="245"/>
      <c r="AG70" s="245"/>
      <c r="AH70" s="245"/>
      <c r="AI70" s="245"/>
      <c r="AJ70" s="245"/>
      <c r="AK70" s="245"/>
      <c r="AL70" s="245"/>
      <c r="AM70" s="245"/>
      <c r="AN70" s="245"/>
      <c r="AO70" s="245"/>
      <c r="AP70" s="245"/>
      <c r="AQ70" s="245"/>
      <c r="AR70" s="245"/>
      <c r="AT70" s="222" t="s">
        <v>336</v>
      </c>
      <c r="AV70" s="222" t="str">
        <f t="shared" si="5"/>
        <v>Cowlitz</v>
      </c>
      <c r="AW70" s="222">
        <v>92948</v>
      </c>
    </row>
    <row r="71" spans="1:49">
      <c r="A71" s="245"/>
      <c r="B71" s="246"/>
      <c r="C71" s="247"/>
      <c r="D71" s="245"/>
      <c r="E71" s="245"/>
      <c r="F71" s="245"/>
      <c r="G71" s="245"/>
      <c r="H71" s="245"/>
      <c r="I71" s="245"/>
      <c r="J71" s="245"/>
      <c r="K71" s="245"/>
      <c r="L71" s="245"/>
      <c r="M71" s="245"/>
      <c r="N71" s="245"/>
      <c r="O71" s="245"/>
      <c r="P71" s="245"/>
      <c r="Q71" s="245"/>
      <c r="R71" s="245"/>
      <c r="S71" s="245"/>
      <c r="T71" s="245"/>
      <c r="U71" s="245"/>
      <c r="V71" s="245"/>
      <c r="W71" s="245"/>
      <c r="X71" s="245"/>
      <c r="Y71" s="245"/>
      <c r="Z71" s="245"/>
      <c r="AA71" s="245"/>
      <c r="AB71" s="245"/>
      <c r="AC71" s="245"/>
      <c r="AD71" s="245"/>
      <c r="AE71" s="245"/>
      <c r="AF71" s="245"/>
      <c r="AG71" s="245"/>
      <c r="AH71" s="245"/>
      <c r="AI71" s="245"/>
      <c r="AJ71" s="245"/>
      <c r="AK71" s="245"/>
      <c r="AL71" s="245"/>
      <c r="AM71" s="245"/>
      <c r="AN71" s="245"/>
      <c r="AO71" s="245"/>
      <c r="AP71" s="245"/>
      <c r="AQ71" s="245"/>
      <c r="AR71" s="245"/>
      <c r="AT71" s="222" t="s">
        <v>337</v>
      </c>
      <c r="AV71" s="222" t="str">
        <f t="shared" si="5"/>
        <v>Grant</v>
      </c>
      <c r="AW71" s="222">
        <v>74698</v>
      </c>
    </row>
    <row r="72" spans="1:49">
      <c r="A72" s="245"/>
      <c r="B72" s="246"/>
      <c r="C72" s="247"/>
      <c r="D72" s="245"/>
      <c r="E72" s="245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45"/>
      <c r="AB72" s="245"/>
      <c r="AC72" s="245"/>
      <c r="AD72" s="245"/>
      <c r="AE72" s="245"/>
      <c r="AF72" s="245"/>
      <c r="AG72" s="245"/>
      <c r="AH72" s="245"/>
      <c r="AI72" s="245"/>
      <c r="AJ72" s="245"/>
      <c r="AK72" s="245"/>
      <c r="AL72" s="245"/>
      <c r="AM72" s="245"/>
      <c r="AN72" s="245"/>
      <c r="AO72" s="245"/>
      <c r="AP72" s="245"/>
      <c r="AQ72" s="245"/>
      <c r="AR72" s="245"/>
      <c r="AT72" s="222" t="s">
        <v>338</v>
      </c>
      <c r="AV72" s="222" t="str">
        <f t="shared" si="5"/>
        <v>Island</v>
      </c>
      <c r="AW72" s="222">
        <v>71558</v>
      </c>
    </row>
    <row r="73" spans="1:49">
      <c r="A73" s="245"/>
      <c r="B73" s="246"/>
      <c r="C73" s="247"/>
      <c r="D73" s="245"/>
      <c r="E73" s="245"/>
      <c r="F73" s="245"/>
      <c r="G73" s="245"/>
      <c r="H73" s="245"/>
      <c r="I73" s="245"/>
      <c r="J73" s="245"/>
      <c r="K73" s="245"/>
      <c r="L73" s="245"/>
      <c r="M73" s="245"/>
      <c r="N73" s="245"/>
      <c r="O73" s="245"/>
      <c r="P73" s="245"/>
      <c r="Q73" s="245"/>
      <c r="R73" s="245"/>
      <c r="S73" s="245"/>
      <c r="T73" s="245"/>
      <c r="U73" s="245"/>
      <c r="V73" s="245"/>
      <c r="W73" s="245"/>
      <c r="X73" s="245"/>
      <c r="Y73" s="245"/>
      <c r="Z73" s="245"/>
      <c r="AA73" s="245"/>
      <c r="AB73" s="245"/>
      <c r="AC73" s="245"/>
      <c r="AD73" s="245"/>
      <c r="AE73" s="245"/>
      <c r="AF73" s="245"/>
      <c r="AG73" s="245"/>
      <c r="AH73" s="245"/>
      <c r="AI73" s="245"/>
      <c r="AJ73" s="245"/>
      <c r="AK73" s="245"/>
      <c r="AL73" s="245"/>
      <c r="AM73" s="245"/>
      <c r="AN73" s="245"/>
      <c r="AO73" s="245"/>
      <c r="AP73" s="245"/>
      <c r="AQ73" s="245"/>
      <c r="AR73" s="245"/>
      <c r="AT73" s="222" t="s">
        <v>339</v>
      </c>
      <c r="AV73" s="222" t="str">
        <f t="shared" si="5"/>
        <v>Lewis</v>
      </c>
      <c r="AW73" s="222">
        <v>68600</v>
      </c>
    </row>
    <row r="74" spans="1:49">
      <c r="A74" s="245"/>
      <c r="B74" s="246"/>
      <c r="C74" s="247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45"/>
      <c r="AB74" s="245"/>
      <c r="AC74" s="245"/>
      <c r="AD74" s="245"/>
      <c r="AE74" s="245"/>
      <c r="AF74" s="245"/>
      <c r="AG74" s="245"/>
      <c r="AH74" s="245"/>
      <c r="AI74" s="245"/>
      <c r="AJ74" s="245"/>
      <c r="AK74" s="245"/>
      <c r="AL74" s="245"/>
      <c r="AM74" s="245"/>
      <c r="AN74" s="245"/>
      <c r="AO74" s="245"/>
      <c r="AP74" s="245"/>
      <c r="AQ74" s="245"/>
      <c r="AR74" s="245"/>
      <c r="AT74" s="222" t="s">
        <v>340</v>
      </c>
      <c r="AV74" s="222" t="str">
        <f t="shared" si="5"/>
        <v>Grays Harbor</v>
      </c>
      <c r="AW74" s="222">
        <v>67194</v>
      </c>
    </row>
    <row r="75" spans="1:49">
      <c r="A75" s="245"/>
      <c r="B75" s="246"/>
      <c r="C75" s="247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45"/>
      <c r="AB75" s="245"/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T75" s="222" t="s">
        <v>341</v>
      </c>
      <c r="AV75" s="222" t="str">
        <f t="shared" si="5"/>
        <v>Chelan</v>
      </c>
      <c r="AW75" s="222">
        <v>66616</v>
      </c>
    </row>
    <row r="76" spans="1:49">
      <c r="A76" s="245"/>
      <c r="B76" s="246"/>
      <c r="C76" s="247"/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45"/>
      <c r="P76" s="245"/>
      <c r="Q76" s="245"/>
      <c r="R76" s="245"/>
      <c r="S76" s="245"/>
      <c r="T76" s="245"/>
      <c r="U76" s="245"/>
      <c r="V76" s="245"/>
      <c r="W76" s="245"/>
      <c r="X76" s="245"/>
      <c r="Y76" s="245"/>
      <c r="Z76" s="245"/>
      <c r="AA76" s="245"/>
      <c r="AB76" s="245"/>
      <c r="AC76" s="245"/>
      <c r="AD76" s="245"/>
      <c r="AE76" s="245"/>
      <c r="AF76" s="245"/>
      <c r="AG76" s="245"/>
      <c r="AH76" s="245"/>
      <c r="AI76" s="245"/>
      <c r="AJ76" s="245"/>
      <c r="AK76" s="245"/>
      <c r="AL76" s="245"/>
      <c r="AM76" s="245"/>
      <c r="AN76" s="245"/>
      <c r="AO76" s="245"/>
      <c r="AP76" s="245"/>
      <c r="AQ76" s="245"/>
      <c r="AR76" s="245"/>
      <c r="AT76" s="222" t="s">
        <v>342</v>
      </c>
      <c r="AV76" s="222" t="str">
        <f t="shared" si="5"/>
        <v>Clallam</v>
      </c>
      <c r="AW76" s="222">
        <v>64525</v>
      </c>
    </row>
    <row r="77" spans="1:49">
      <c r="A77" s="245"/>
      <c r="B77" s="246"/>
      <c r="C77" s="247"/>
      <c r="D77" s="245"/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45"/>
      <c r="AB77" s="245"/>
      <c r="AC77" s="245"/>
      <c r="AD77" s="245"/>
      <c r="AE77" s="245"/>
      <c r="AF77" s="245"/>
      <c r="AG77" s="245"/>
      <c r="AH77" s="245"/>
      <c r="AI77" s="245"/>
      <c r="AJ77" s="245"/>
      <c r="AK77" s="245"/>
      <c r="AL77" s="245"/>
      <c r="AM77" s="245"/>
      <c r="AN77" s="245"/>
      <c r="AO77" s="245"/>
      <c r="AP77" s="245"/>
      <c r="AQ77" s="245"/>
      <c r="AR77" s="245"/>
      <c r="AT77" s="222" t="s">
        <v>343</v>
      </c>
      <c r="AV77" s="222" t="str">
        <f t="shared" si="5"/>
        <v>Walla Walla</v>
      </c>
      <c r="AW77" s="222">
        <v>55180</v>
      </c>
    </row>
    <row r="78" spans="1:49">
      <c r="A78" s="245"/>
      <c r="B78" s="246"/>
      <c r="C78" s="247"/>
      <c r="D78" s="245"/>
      <c r="E78" s="245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245"/>
      <c r="Z78" s="245"/>
      <c r="AA78" s="245"/>
      <c r="AB78" s="245"/>
      <c r="AC78" s="245"/>
      <c r="AD78" s="245"/>
      <c r="AE78" s="245"/>
      <c r="AF78" s="245"/>
      <c r="AG78" s="245"/>
      <c r="AH78" s="245"/>
      <c r="AI78" s="245"/>
      <c r="AJ78" s="245"/>
      <c r="AK78" s="245"/>
      <c r="AL78" s="245"/>
      <c r="AM78" s="245"/>
      <c r="AN78" s="245"/>
      <c r="AO78" s="245"/>
      <c r="AP78" s="245"/>
      <c r="AQ78" s="245"/>
      <c r="AR78" s="245"/>
      <c r="AT78" s="222" t="s">
        <v>344</v>
      </c>
      <c r="AV78" s="222" t="str">
        <f t="shared" si="5"/>
        <v>Mason</v>
      </c>
      <c r="AW78" s="222">
        <v>49405</v>
      </c>
    </row>
    <row r="79" spans="1:49">
      <c r="A79" s="245"/>
      <c r="B79" s="246"/>
      <c r="C79" s="247"/>
      <c r="D79" s="245"/>
      <c r="E79" s="245"/>
      <c r="F79" s="245"/>
      <c r="G79" s="245"/>
      <c r="H79" s="245"/>
      <c r="I79" s="245"/>
      <c r="J79" s="245"/>
      <c r="K79" s="245"/>
      <c r="L79" s="245"/>
      <c r="M79" s="245"/>
      <c r="N79" s="245"/>
      <c r="O79" s="245"/>
      <c r="P79" s="245"/>
      <c r="Q79" s="245"/>
      <c r="R79" s="245"/>
      <c r="S79" s="245"/>
      <c r="T79" s="245"/>
      <c r="U79" s="245"/>
      <c r="V79" s="245"/>
      <c r="W79" s="245"/>
      <c r="X79" s="245"/>
      <c r="Y79" s="245"/>
      <c r="Z79" s="245"/>
      <c r="AA79" s="245"/>
      <c r="AB79" s="245"/>
      <c r="AC79" s="245"/>
      <c r="AD79" s="245"/>
      <c r="AE79" s="245"/>
      <c r="AF79" s="245"/>
      <c r="AG79" s="245"/>
      <c r="AH79" s="245"/>
      <c r="AI79" s="245"/>
      <c r="AJ79" s="245"/>
      <c r="AK79" s="245"/>
      <c r="AL79" s="245"/>
      <c r="AM79" s="245"/>
      <c r="AN79" s="245"/>
      <c r="AO79" s="245"/>
      <c r="AP79" s="245"/>
      <c r="AQ79" s="245"/>
      <c r="AR79" s="245"/>
      <c r="AT79" s="222" t="s">
        <v>345</v>
      </c>
      <c r="AV79" s="222" t="str">
        <f t="shared" si="5"/>
        <v>Franklin</v>
      </c>
      <c r="AW79" s="222">
        <v>49347</v>
      </c>
    </row>
    <row r="80" spans="1:49">
      <c r="A80" s="245"/>
      <c r="B80" s="246"/>
      <c r="C80" s="247"/>
      <c r="D80" s="245"/>
      <c r="E80" s="245"/>
      <c r="F80" s="245"/>
      <c r="G80" s="245"/>
      <c r="H80" s="245"/>
      <c r="I80" s="245"/>
      <c r="J80" s="245"/>
      <c r="K80" s="245"/>
      <c r="L80" s="245"/>
      <c r="M80" s="245"/>
      <c r="N80" s="245"/>
      <c r="O80" s="245"/>
      <c r="P80" s="245"/>
      <c r="Q80" s="245"/>
      <c r="R80" s="245"/>
      <c r="S80" s="245"/>
      <c r="T80" s="245"/>
      <c r="U80" s="245"/>
      <c r="V80" s="245"/>
      <c r="W80" s="245"/>
      <c r="X80" s="245"/>
      <c r="Y80" s="245"/>
      <c r="Z80" s="245"/>
      <c r="AA80" s="245"/>
      <c r="AB80" s="245"/>
      <c r="AC80" s="245"/>
      <c r="AD80" s="245"/>
      <c r="AE80" s="245"/>
      <c r="AF80" s="245"/>
      <c r="AG80" s="245"/>
      <c r="AH80" s="245"/>
      <c r="AI80" s="245"/>
      <c r="AJ80" s="245"/>
      <c r="AK80" s="245"/>
      <c r="AL80" s="245"/>
      <c r="AM80" s="245"/>
      <c r="AN80" s="245"/>
      <c r="AO80" s="245"/>
      <c r="AP80" s="245"/>
      <c r="AQ80" s="245"/>
      <c r="AR80" s="245"/>
      <c r="AT80" s="222" t="s">
        <v>346</v>
      </c>
      <c r="AV80" s="222" t="str">
        <f t="shared" si="5"/>
        <v>Whitman</v>
      </c>
      <c r="AW80" s="222">
        <v>40740</v>
      </c>
    </row>
    <row r="81" spans="1:49">
      <c r="A81" s="245"/>
      <c r="B81" s="246"/>
      <c r="C81" s="247"/>
      <c r="D81" s="245"/>
      <c r="E81" s="245"/>
      <c r="F81" s="245"/>
      <c r="G81" s="245"/>
      <c r="H81" s="245"/>
      <c r="I81" s="245"/>
      <c r="J81" s="245"/>
      <c r="K81" s="245"/>
      <c r="L81" s="245"/>
      <c r="M81" s="245"/>
      <c r="N81" s="245"/>
      <c r="O81" s="245"/>
      <c r="P81" s="245"/>
      <c r="Q81" s="245"/>
      <c r="R81" s="245"/>
      <c r="S81" s="245"/>
      <c r="T81" s="245"/>
      <c r="U81" s="245"/>
      <c r="V81" s="245"/>
      <c r="W81" s="245"/>
      <c r="X81" s="245"/>
      <c r="Y81" s="245"/>
      <c r="Z81" s="245"/>
      <c r="AA81" s="245"/>
      <c r="AB81" s="245"/>
      <c r="AC81" s="245"/>
      <c r="AD81" s="245"/>
      <c r="AE81" s="245"/>
      <c r="AF81" s="245"/>
      <c r="AG81" s="245"/>
      <c r="AH81" s="245"/>
      <c r="AI81" s="245"/>
      <c r="AJ81" s="245"/>
      <c r="AK81" s="245"/>
      <c r="AL81" s="245"/>
      <c r="AM81" s="245"/>
      <c r="AN81" s="245"/>
      <c r="AO81" s="245"/>
      <c r="AP81" s="245"/>
      <c r="AQ81" s="245"/>
      <c r="AR81" s="245"/>
      <c r="AT81" s="222" t="s">
        <v>347</v>
      </c>
      <c r="AV81" s="222" t="str">
        <f t="shared" si="5"/>
        <v>Stevens</v>
      </c>
      <c r="AW81" s="222">
        <v>40066</v>
      </c>
    </row>
    <row r="82" spans="1:49">
      <c r="A82" s="245"/>
      <c r="B82" s="246"/>
      <c r="C82" s="247"/>
      <c r="D82" s="245"/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45"/>
      <c r="AB82" s="245"/>
      <c r="AC82" s="245"/>
      <c r="AD82" s="245"/>
      <c r="AE82" s="245"/>
      <c r="AF82" s="245"/>
      <c r="AG82" s="245"/>
      <c r="AH82" s="245"/>
      <c r="AI82" s="245"/>
      <c r="AJ82" s="245"/>
      <c r="AK82" s="245"/>
      <c r="AL82" s="245"/>
      <c r="AM82" s="245"/>
      <c r="AN82" s="245"/>
      <c r="AO82" s="245"/>
      <c r="AP82" s="245"/>
      <c r="AQ82" s="245"/>
      <c r="AR82" s="245"/>
      <c r="AT82" s="222" t="s">
        <v>348</v>
      </c>
      <c r="AV82" s="222" t="str">
        <f t="shared" si="5"/>
        <v>Okanogan</v>
      </c>
      <c r="AW82" s="222">
        <v>39564</v>
      </c>
    </row>
    <row r="83" spans="1:49">
      <c r="A83" s="245"/>
      <c r="B83" s="246"/>
      <c r="C83" s="247"/>
      <c r="D83" s="245"/>
      <c r="E83" s="245"/>
      <c r="F83" s="245"/>
      <c r="G83" s="245"/>
      <c r="H83" s="245"/>
      <c r="I83" s="245"/>
      <c r="J83" s="245"/>
      <c r="K83" s="245"/>
      <c r="L83" s="245"/>
      <c r="M83" s="245"/>
      <c r="N83" s="245"/>
      <c r="O83" s="245"/>
      <c r="P83" s="245"/>
      <c r="Q83" s="245"/>
      <c r="R83" s="245"/>
      <c r="S83" s="245"/>
      <c r="T83" s="245"/>
      <c r="U83" s="245"/>
      <c r="V83" s="245"/>
      <c r="W83" s="245"/>
      <c r="X83" s="245"/>
      <c r="Y83" s="245"/>
      <c r="Z83" s="245"/>
      <c r="AA83" s="245"/>
      <c r="AB83" s="245"/>
      <c r="AC83" s="245"/>
      <c r="AD83" s="245"/>
      <c r="AE83" s="245"/>
      <c r="AF83" s="245"/>
      <c r="AG83" s="245"/>
      <c r="AH83" s="245"/>
      <c r="AI83" s="245"/>
      <c r="AJ83" s="245"/>
      <c r="AK83" s="245"/>
      <c r="AL83" s="245"/>
      <c r="AM83" s="245"/>
      <c r="AN83" s="245"/>
      <c r="AO83" s="245"/>
      <c r="AP83" s="245"/>
      <c r="AQ83" s="245"/>
      <c r="AR83" s="245"/>
      <c r="AT83" s="222" t="s">
        <v>349</v>
      </c>
      <c r="AV83" s="222" t="str">
        <f t="shared" si="5"/>
        <v>Kittitas</v>
      </c>
      <c r="AW83" s="222">
        <v>33362</v>
      </c>
    </row>
    <row r="84" spans="1:49">
      <c r="A84" s="245"/>
      <c r="B84" s="246"/>
      <c r="C84" s="247"/>
      <c r="D84" s="245"/>
      <c r="E84" s="245"/>
      <c r="F84" s="245"/>
      <c r="G84" s="245"/>
      <c r="H84" s="245"/>
      <c r="I84" s="245"/>
      <c r="J84" s="245"/>
      <c r="K84" s="245"/>
      <c r="L84" s="245"/>
      <c r="M84" s="245"/>
      <c r="N84" s="245"/>
      <c r="O84" s="245"/>
      <c r="P84" s="245"/>
      <c r="Q84" s="245"/>
      <c r="R84" s="245"/>
      <c r="S84" s="245"/>
      <c r="T84" s="245"/>
      <c r="U84" s="245"/>
      <c r="V84" s="245"/>
      <c r="W84" s="245"/>
      <c r="X84" s="245"/>
      <c r="Y84" s="245"/>
      <c r="Z84" s="245"/>
      <c r="AA84" s="245"/>
      <c r="AB84" s="245"/>
      <c r="AC84" s="245"/>
      <c r="AD84" s="245"/>
      <c r="AE84" s="245"/>
      <c r="AF84" s="245"/>
      <c r="AG84" s="245"/>
      <c r="AH84" s="245"/>
      <c r="AI84" s="245"/>
      <c r="AJ84" s="245"/>
      <c r="AK84" s="245"/>
      <c r="AL84" s="245"/>
      <c r="AM84" s="245"/>
      <c r="AN84" s="245"/>
      <c r="AO84" s="245"/>
      <c r="AP84" s="245"/>
      <c r="AQ84" s="245"/>
      <c r="AR84" s="245"/>
      <c r="AT84" s="222" t="s">
        <v>350</v>
      </c>
      <c r="AV84" s="222" t="str">
        <f t="shared" si="5"/>
        <v>Douglas</v>
      </c>
      <c r="AW84" s="222">
        <v>32603</v>
      </c>
    </row>
    <row r="85" spans="1:49">
      <c r="A85" s="245"/>
      <c r="B85" s="246"/>
      <c r="C85" s="247"/>
      <c r="D85" s="245"/>
      <c r="E85" s="245"/>
      <c r="F85" s="245"/>
      <c r="G85" s="245"/>
      <c r="H85" s="245"/>
      <c r="I85" s="245"/>
      <c r="J85" s="245"/>
      <c r="K85" s="245"/>
      <c r="L85" s="245"/>
      <c r="M85" s="245"/>
      <c r="N85" s="245"/>
      <c r="O85" s="245"/>
      <c r="P85" s="245"/>
      <c r="Q85" s="245"/>
      <c r="R85" s="245"/>
      <c r="S85" s="245"/>
      <c r="T85" s="245"/>
      <c r="U85" s="245"/>
      <c r="V85" s="245"/>
      <c r="W85" s="245"/>
      <c r="X85" s="245"/>
      <c r="Y85" s="245"/>
      <c r="Z85" s="245"/>
      <c r="AA85" s="245"/>
      <c r="AB85" s="245"/>
      <c r="AC85" s="245"/>
      <c r="AD85" s="245"/>
      <c r="AE85" s="245"/>
      <c r="AF85" s="245"/>
      <c r="AG85" s="245"/>
      <c r="AH85" s="245"/>
      <c r="AI85" s="245"/>
      <c r="AJ85" s="245"/>
      <c r="AK85" s="245"/>
      <c r="AL85" s="245"/>
      <c r="AM85" s="245"/>
      <c r="AN85" s="245"/>
      <c r="AO85" s="245"/>
      <c r="AP85" s="245"/>
      <c r="AQ85" s="245"/>
      <c r="AR85" s="245"/>
      <c r="AT85" s="222" t="s">
        <v>351</v>
      </c>
      <c r="AV85" s="222" t="str">
        <f t="shared" si="5"/>
        <v>Jefferson</v>
      </c>
      <c r="AW85" s="222">
        <v>25953</v>
      </c>
    </row>
    <row r="86" spans="1:49">
      <c r="AT86" s="222" t="s">
        <v>352</v>
      </c>
      <c r="AV86" s="222" t="str">
        <f t="shared" si="5"/>
        <v>Pacific</v>
      </c>
      <c r="AW86" s="222">
        <v>20984</v>
      </c>
    </row>
    <row r="87" spans="1:49">
      <c r="AT87" s="222" t="s">
        <v>353</v>
      </c>
      <c r="AV87" s="222" t="str">
        <f t="shared" si="5"/>
        <v>Asotin</v>
      </c>
      <c r="AW87" s="222">
        <v>20551</v>
      </c>
    </row>
    <row r="88" spans="1:49">
      <c r="AT88" s="222" t="s">
        <v>354</v>
      </c>
      <c r="AV88" s="222" t="str">
        <f t="shared" si="5"/>
        <v>Klickitat</v>
      </c>
      <c r="AW88" s="222">
        <v>19161</v>
      </c>
    </row>
    <row r="89" spans="1:49">
      <c r="AT89" s="222" t="s">
        <v>355</v>
      </c>
      <c r="AV89" s="222" t="str">
        <f t="shared" si="5"/>
        <v>Adams</v>
      </c>
      <c r="AW89" s="222">
        <v>16428</v>
      </c>
    </row>
    <row r="90" spans="1:49">
      <c r="AT90" s="222" t="s">
        <v>356</v>
      </c>
      <c r="AV90" s="222" t="str">
        <f t="shared" si="5"/>
        <v>San Juan</v>
      </c>
      <c r="AW90" s="222">
        <v>14077</v>
      </c>
    </row>
    <row r="91" spans="1:49">
      <c r="AT91" s="222" t="s">
        <v>357</v>
      </c>
      <c r="AV91" s="222" t="str">
        <f t="shared" si="5"/>
        <v>Pend Oreille</v>
      </c>
      <c r="AW91" s="222">
        <v>11732</v>
      </c>
    </row>
    <row r="92" spans="1:49">
      <c r="AT92" s="222" t="s">
        <v>358</v>
      </c>
      <c r="AV92" s="222" t="str">
        <f t="shared" si="5"/>
        <v>Lincoln</v>
      </c>
      <c r="AW92" s="222">
        <v>10184</v>
      </c>
    </row>
    <row r="93" spans="1:49">
      <c r="AT93" s="222" t="s">
        <v>359</v>
      </c>
      <c r="AV93" s="222" t="str">
        <f t="shared" si="5"/>
        <v>Skamania</v>
      </c>
      <c r="AW93" s="222">
        <v>9872</v>
      </c>
    </row>
    <row r="94" spans="1:49">
      <c r="AT94" s="222" t="s">
        <v>360</v>
      </c>
      <c r="AV94" s="222" t="str">
        <f t="shared" si="5"/>
        <v>Ferry</v>
      </c>
      <c r="AW94" s="222">
        <v>7260</v>
      </c>
    </row>
    <row r="95" spans="1:49">
      <c r="AT95" s="222" t="s">
        <v>361</v>
      </c>
      <c r="AV95" s="222" t="str">
        <f t="shared" si="5"/>
        <v>Columbia</v>
      </c>
      <c r="AW95" s="222">
        <v>4064</v>
      </c>
    </row>
    <row r="96" spans="1:49">
      <c r="AT96" s="222" t="s">
        <v>362</v>
      </c>
      <c r="AV96" s="222" t="str">
        <f t="shared" si="5"/>
        <v>Wahkiakum</v>
      </c>
      <c r="AW96" s="222">
        <v>3824</v>
      </c>
    </row>
    <row r="97" spans="46:49">
      <c r="AT97" s="222" t="s">
        <v>363</v>
      </c>
      <c r="AV97" s="222" t="str">
        <f t="shared" si="5"/>
        <v>Garfield</v>
      </c>
      <c r="AW97" s="222">
        <v>2397</v>
      </c>
    </row>
  </sheetData>
  <conditionalFormatting sqref="D4:AN4">
    <cfRule type="expression" dxfId="2" priority="3" stopIfTrue="1">
      <formula>ROUND(D$44,0)=1</formula>
    </cfRule>
  </conditionalFormatting>
  <conditionalFormatting sqref="D5:AN41">
    <cfRule type="expression" dxfId="1" priority="2">
      <formula>$C5=D$4</formula>
    </cfRule>
  </conditionalFormatting>
  <conditionalFormatting sqref="D47:AN55">
    <cfRule type="expression" dxfId="0" priority="1">
      <formula>ROUND(D47,0)=1</formula>
    </cfRule>
  </conditionalFormatting>
  <printOptions headings="1" gridLines="1"/>
  <pageMargins left="0.75" right="0.75" top="1" bottom="1" header="0.5" footer="0.5"/>
  <pageSetup scale="57" orientation="portrait" horizontalDpi="4294967292" verticalDpi="4294967292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theme="7" tint="0.59999389629810485"/>
  </sheetPr>
  <dimension ref="A1:D27"/>
  <sheetViews>
    <sheetView zoomScaleNormal="100" workbookViewId="0">
      <selection activeCell="I27" sqref="I27"/>
    </sheetView>
  </sheetViews>
  <sheetFormatPr defaultRowHeight="15"/>
  <cols>
    <col min="2" max="2" width="21" customWidth="1"/>
    <col min="3" max="3" width="15" customWidth="1"/>
    <col min="4" max="4" width="18.85546875" customWidth="1"/>
  </cols>
  <sheetData>
    <row r="1" spans="1:4" ht="15.75">
      <c r="A1" s="67"/>
      <c r="B1" s="67"/>
      <c r="C1" s="67"/>
      <c r="D1" s="67"/>
    </row>
    <row r="2" spans="1:4" ht="111" thickBot="1">
      <c r="A2" s="162"/>
      <c r="B2" s="163" t="s">
        <v>106</v>
      </c>
      <c r="C2" s="163" t="s">
        <v>181</v>
      </c>
      <c r="D2" s="163" t="s">
        <v>369</v>
      </c>
    </row>
    <row r="3" spans="1:4">
      <c r="A3" s="175">
        <v>2000</v>
      </c>
      <c r="B3" s="176">
        <v>61.03</v>
      </c>
      <c r="C3" s="260">
        <v>4800000</v>
      </c>
      <c r="D3" s="260">
        <f>ROUND(($B$13/B3)*C3,0)</f>
        <v>6893030</v>
      </c>
    </row>
    <row r="4" spans="1:4">
      <c r="A4" s="177">
        <v>2001</v>
      </c>
      <c r="B4" s="176">
        <v>63.128</v>
      </c>
      <c r="C4" s="260">
        <v>5200000</v>
      </c>
      <c r="D4" s="260">
        <f t="shared" ref="D4:D27" si="0">ROUND(($B$13/B4)*C4,0)</f>
        <v>7219275</v>
      </c>
    </row>
    <row r="5" spans="1:4">
      <c r="A5" s="177">
        <v>2002</v>
      </c>
      <c r="B5" s="176">
        <v>64.537999999999997</v>
      </c>
      <c r="C5" s="260">
        <v>5700000</v>
      </c>
      <c r="D5" s="260">
        <f t="shared" si="0"/>
        <v>7740547</v>
      </c>
    </row>
    <row r="6" spans="1:4">
      <c r="A6" s="177">
        <v>2003</v>
      </c>
      <c r="B6" s="176">
        <v>66.646000000000001</v>
      </c>
      <c r="C6" s="261">
        <v>6400000</v>
      </c>
      <c r="D6" s="261">
        <f t="shared" si="0"/>
        <v>8416241</v>
      </c>
    </row>
    <row r="7" spans="1:4" ht="15.75" thickBot="1">
      <c r="A7" s="178">
        <v>2004</v>
      </c>
      <c r="B7" s="179">
        <v>69.725999999999999</v>
      </c>
      <c r="C7" s="262">
        <v>7200000</v>
      </c>
      <c r="D7" s="262">
        <f t="shared" si="0"/>
        <v>9050030</v>
      </c>
    </row>
    <row r="8" spans="1:4">
      <c r="A8" s="177">
        <v>2005</v>
      </c>
      <c r="B8" s="176">
        <v>73.667000000000002</v>
      </c>
      <c r="C8" s="261">
        <v>7900000</v>
      </c>
      <c r="D8" s="261">
        <f t="shared" si="0"/>
        <v>9398670</v>
      </c>
    </row>
    <row r="9" spans="1:4">
      <c r="A9" s="177">
        <v>2006</v>
      </c>
      <c r="B9" s="176">
        <v>77.406000000000006</v>
      </c>
      <c r="C9" s="261">
        <v>8200000</v>
      </c>
      <c r="D9" s="261">
        <f t="shared" si="0"/>
        <v>9284350</v>
      </c>
    </row>
    <row r="10" spans="1:4">
      <c r="A10" s="177">
        <v>2007</v>
      </c>
      <c r="B10" s="176">
        <v>81.602999999999994</v>
      </c>
      <c r="C10" s="261">
        <v>8500000</v>
      </c>
      <c r="D10" s="261">
        <f t="shared" si="0"/>
        <v>9129039</v>
      </c>
    </row>
    <row r="11" spans="1:4">
      <c r="A11" s="177">
        <v>2008</v>
      </c>
      <c r="B11" s="176">
        <v>85.691999999999993</v>
      </c>
      <c r="C11" s="261">
        <v>9000000</v>
      </c>
      <c r="D11" s="261">
        <f t="shared" si="0"/>
        <v>9204803</v>
      </c>
    </row>
    <row r="12" spans="1:4" ht="15.75" thickBot="1">
      <c r="A12" s="178">
        <v>2009</v>
      </c>
      <c r="B12" s="179">
        <v>85.200999999999993</v>
      </c>
      <c r="C12" s="262">
        <v>9400000</v>
      </c>
      <c r="D12" s="262">
        <f t="shared" si="0"/>
        <v>9669309</v>
      </c>
    </row>
    <row r="13" spans="1:4">
      <c r="A13" s="177">
        <v>2010</v>
      </c>
      <c r="B13" s="176">
        <v>87.641999999999996</v>
      </c>
      <c r="C13" s="261">
        <v>9600000</v>
      </c>
      <c r="D13" s="261">
        <f t="shared" si="0"/>
        <v>9600000</v>
      </c>
    </row>
    <row r="14" spans="1:4">
      <c r="A14" s="177">
        <v>2011</v>
      </c>
      <c r="B14" s="176">
        <v>90.494</v>
      </c>
      <c r="C14" s="261">
        <v>10200000</v>
      </c>
      <c r="D14" s="261">
        <f t="shared" si="0"/>
        <v>9878538</v>
      </c>
    </row>
    <row r="15" spans="1:4">
      <c r="A15" s="177">
        <v>2012</v>
      </c>
      <c r="B15" s="176">
        <v>92.578999999999994</v>
      </c>
      <c r="C15" s="261">
        <v>10600000</v>
      </c>
      <c r="D15" s="261">
        <f t="shared" si="0"/>
        <v>10034729</v>
      </c>
    </row>
    <row r="16" spans="1:4">
      <c r="A16" s="177">
        <v>2013</v>
      </c>
      <c r="B16" s="176">
        <v>95.653999999999996</v>
      </c>
      <c r="C16" s="261">
        <v>10900000</v>
      </c>
      <c r="D16" s="261">
        <f t="shared" si="0"/>
        <v>9987014</v>
      </c>
    </row>
    <row r="17" spans="1:4" ht="15.75" thickBot="1">
      <c r="A17" s="178">
        <v>2014</v>
      </c>
      <c r="B17" s="179">
        <v>97.804000000000002</v>
      </c>
      <c r="C17" s="262">
        <v>11200000</v>
      </c>
      <c r="D17" s="262">
        <f t="shared" si="0"/>
        <v>10036301</v>
      </c>
    </row>
    <row r="18" spans="1:4">
      <c r="A18" s="177">
        <v>2015</v>
      </c>
      <c r="B18" s="176">
        <v>97.566999999999993</v>
      </c>
      <c r="C18" s="261">
        <v>11600000</v>
      </c>
      <c r="D18" s="261">
        <f t="shared" si="0"/>
        <v>10419990</v>
      </c>
    </row>
    <row r="19" spans="1:4">
      <c r="A19" s="177">
        <v>2016</v>
      </c>
      <c r="B19" s="176">
        <v>97.504999999999995</v>
      </c>
      <c r="C19" s="261">
        <v>11800000</v>
      </c>
      <c r="D19" s="261">
        <f t="shared" si="0"/>
        <v>10606385</v>
      </c>
    </row>
    <row r="20" spans="1:4">
      <c r="A20" s="177">
        <v>2017</v>
      </c>
      <c r="B20" s="176">
        <v>100</v>
      </c>
      <c r="C20" s="261">
        <v>11900000</v>
      </c>
      <c r="D20" s="261">
        <f t="shared" si="0"/>
        <v>10429398</v>
      </c>
    </row>
    <row r="21" spans="1:4">
      <c r="A21" s="177">
        <v>2018</v>
      </c>
      <c r="B21" s="176">
        <v>104.126</v>
      </c>
      <c r="C21" s="261">
        <v>12000000</v>
      </c>
      <c r="D21" s="261">
        <f t="shared" si="0"/>
        <v>10100302</v>
      </c>
    </row>
    <row r="22" spans="1:4" ht="15.75" thickBot="1">
      <c r="A22" s="178">
        <v>2019</v>
      </c>
      <c r="B22" s="179">
        <v>105.63800000000001</v>
      </c>
      <c r="C22" s="262">
        <v>12100000</v>
      </c>
      <c r="D22" s="262">
        <f t="shared" si="0"/>
        <v>10038700</v>
      </c>
    </row>
    <row r="23" spans="1:4">
      <c r="A23" s="177">
        <v>2020</v>
      </c>
      <c r="B23" s="176">
        <v>108.65</v>
      </c>
      <c r="C23" s="261">
        <v>12200000</v>
      </c>
      <c r="D23" s="261">
        <f t="shared" si="0"/>
        <v>9841071</v>
      </c>
    </row>
    <row r="24" spans="1:4">
      <c r="A24" s="177">
        <v>2021</v>
      </c>
      <c r="B24" s="176">
        <v>115.855</v>
      </c>
      <c r="C24" s="261">
        <v>12350000</v>
      </c>
      <c r="D24" s="261">
        <f t="shared" si="0"/>
        <v>9342529</v>
      </c>
    </row>
    <row r="25" spans="1:4">
      <c r="A25" s="177">
        <v>2022</v>
      </c>
      <c r="B25" s="176">
        <v>125.30500000000001</v>
      </c>
      <c r="C25" s="261">
        <v>12550000</v>
      </c>
      <c r="D25" s="261">
        <f t="shared" si="0"/>
        <v>8777839</v>
      </c>
    </row>
    <row r="26" spans="1:4">
      <c r="A26" s="177">
        <v>2023</v>
      </c>
      <c r="B26" s="176">
        <v>127.744</v>
      </c>
      <c r="C26" s="261">
        <v>13050000</v>
      </c>
      <c r="D26" s="261">
        <f t="shared" si="0"/>
        <v>8953282</v>
      </c>
    </row>
    <row r="27" spans="1:4" ht="15.75" thickBot="1">
      <c r="A27" s="178">
        <v>2024</v>
      </c>
      <c r="B27" s="179">
        <v>130.23099999999999</v>
      </c>
      <c r="C27" s="262">
        <v>13750000</v>
      </c>
      <c r="D27" s="262">
        <f t="shared" si="0"/>
        <v>9253384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7" tint="0.59999389629810485"/>
  </sheetPr>
  <dimension ref="A1:Q36"/>
  <sheetViews>
    <sheetView zoomScale="85" zoomScaleNormal="85" workbookViewId="0">
      <selection activeCell="W22" sqref="W22"/>
    </sheetView>
  </sheetViews>
  <sheetFormatPr defaultRowHeight="15"/>
  <cols>
    <col min="2" max="2" width="14.140625" customWidth="1"/>
    <col min="3" max="3" width="13.7109375" customWidth="1"/>
  </cols>
  <sheetData>
    <row r="1" spans="1:17" ht="106.5" thickBot="1">
      <c r="A1" s="69"/>
      <c r="B1" s="70" t="s">
        <v>386</v>
      </c>
      <c r="C1" s="70" t="s">
        <v>107</v>
      </c>
      <c r="E1" s="66" t="s">
        <v>106</v>
      </c>
      <c r="F1" s="68" t="s">
        <v>107</v>
      </c>
      <c r="H1" s="66" t="s">
        <v>106</v>
      </c>
      <c r="I1" s="68" t="s">
        <v>107</v>
      </c>
    </row>
    <row r="2" spans="1:17" ht="15.75">
      <c r="A2" s="69">
        <v>1990</v>
      </c>
      <c r="B2" s="69">
        <v>45.465000000000003</v>
      </c>
      <c r="C2" s="69">
        <v>130.69999999999999</v>
      </c>
      <c r="E2" s="257"/>
      <c r="F2" s="257"/>
      <c r="G2" s="258">
        <v>1990</v>
      </c>
      <c r="H2" s="259">
        <f>+B2/B$20</f>
        <v>0.53056294636605528</v>
      </c>
      <c r="I2" s="259">
        <f>+C2/C$20</f>
        <v>0.60705145771308333</v>
      </c>
      <c r="Q2" s="164"/>
    </row>
    <row r="3" spans="1:17" ht="15.75">
      <c r="A3" s="69">
        <v>1991</v>
      </c>
      <c r="B3" s="69">
        <v>47.13</v>
      </c>
      <c r="C3" s="69">
        <v>136.19999999999999</v>
      </c>
      <c r="E3" s="256">
        <f>+B3/B2-1</f>
        <v>3.6621577037281305E-2</v>
      </c>
      <c r="F3" s="256">
        <f>+C3/C2-1</f>
        <v>4.2081101759755102E-2</v>
      </c>
      <c r="G3" s="258">
        <v>1991</v>
      </c>
      <c r="H3" s="259">
        <f t="shared" ref="H3:H36" si="0">+B3/B$20</f>
        <v>0.54999299817952674</v>
      </c>
      <c r="I3" s="259">
        <f t="shared" ref="I3:I36" si="1">+C3/C$20</f>
        <v>0.63259685187851533</v>
      </c>
      <c r="Q3" s="164"/>
    </row>
    <row r="4" spans="1:17" ht="15.75">
      <c r="A4" s="69">
        <v>1992</v>
      </c>
      <c r="B4" s="69">
        <v>48.735999999999997</v>
      </c>
      <c r="C4" s="69">
        <v>140.30000000000001</v>
      </c>
      <c r="E4" s="256">
        <f t="shared" ref="E4:E25" si="2">+B4/B3-1</f>
        <v>3.4075960110333092E-2</v>
      </c>
      <c r="F4" s="256">
        <f t="shared" ref="F4:F25" si="3">+C4/C3-1</f>
        <v>3.0102790014684411E-2</v>
      </c>
      <c r="G4" s="258">
        <v>1992</v>
      </c>
      <c r="H4" s="259">
        <f t="shared" si="0"/>
        <v>0.56873453764645476</v>
      </c>
      <c r="I4" s="259">
        <f t="shared" si="1"/>
        <v>0.65163978207456474</v>
      </c>
      <c r="Q4" s="164"/>
    </row>
    <row r="5" spans="1:17" ht="15.75">
      <c r="A5" s="69">
        <v>1993</v>
      </c>
      <c r="B5" s="69">
        <v>49.95</v>
      </c>
      <c r="C5" s="69">
        <v>144.5</v>
      </c>
      <c r="E5" s="256">
        <f t="shared" si="2"/>
        <v>2.4909717662508379E-2</v>
      </c>
      <c r="F5" s="256">
        <f t="shared" si="3"/>
        <v>2.9935851746258013E-2</v>
      </c>
      <c r="G5" s="258">
        <v>1993</v>
      </c>
      <c r="H5" s="259">
        <f t="shared" si="0"/>
        <v>0.58290155440414515</v>
      </c>
      <c r="I5" s="259">
        <f t="shared" si="1"/>
        <v>0.67114717398271273</v>
      </c>
      <c r="Q5" s="164"/>
    </row>
    <row r="6" spans="1:17" ht="15.75">
      <c r="A6" s="69">
        <v>1994</v>
      </c>
      <c r="B6" s="69">
        <v>51.237000000000002</v>
      </c>
      <c r="C6" s="69">
        <v>148.19999999999999</v>
      </c>
      <c r="E6" s="256">
        <f t="shared" si="2"/>
        <v>2.5765765765765725E-2</v>
      </c>
      <c r="F6" s="256">
        <f t="shared" si="3"/>
        <v>2.5605536332179879E-2</v>
      </c>
      <c r="G6" s="258">
        <v>1994</v>
      </c>
      <c r="H6" s="259">
        <f t="shared" si="0"/>
        <v>0.59792045931942317</v>
      </c>
      <c r="I6" s="259">
        <f t="shared" si="1"/>
        <v>0.68833225733036696</v>
      </c>
      <c r="Q6" s="164"/>
    </row>
    <row r="7" spans="1:17" ht="15.75">
      <c r="A7" s="69">
        <v>1995</v>
      </c>
      <c r="B7" s="69">
        <v>52.601999999999997</v>
      </c>
      <c r="C7" s="69">
        <v>152.4</v>
      </c>
      <c r="E7" s="256">
        <f t="shared" si="2"/>
        <v>2.6640904034193946E-2</v>
      </c>
      <c r="F7" s="256">
        <f t="shared" si="3"/>
        <v>2.8340080971660075E-2</v>
      </c>
      <c r="G7" s="258">
        <v>1995</v>
      </c>
      <c r="H7" s="259">
        <f t="shared" si="0"/>
        <v>0.61384960089623308</v>
      </c>
      <c r="I7" s="259">
        <f t="shared" si="1"/>
        <v>0.70783964923851506</v>
      </c>
      <c r="Q7" s="164"/>
    </row>
    <row r="8" spans="1:17" ht="15.75">
      <c r="A8" s="69">
        <v>1996</v>
      </c>
      <c r="B8" s="69">
        <v>53.808999999999997</v>
      </c>
      <c r="C8" s="69">
        <v>156.9</v>
      </c>
      <c r="E8" s="256">
        <f t="shared" si="2"/>
        <v>2.2945895593323495E-2</v>
      </c>
      <c r="F8" s="256">
        <f t="shared" si="3"/>
        <v>2.9527559055118058E-2</v>
      </c>
      <c r="G8" s="258">
        <v>1996</v>
      </c>
      <c r="H8" s="259">
        <f t="shared" si="0"/>
        <v>0.62793492974840126</v>
      </c>
      <c r="I8" s="259">
        <f t="shared" si="1"/>
        <v>0.72874042628295943</v>
      </c>
      <c r="Q8" s="164"/>
    </row>
    <row r="9" spans="1:17" ht="15.75">
      <c r="A9" s="69">
        <v>1997</v>
      </c>
      <c r="B9" s="69">
        <v>55.006</v>
      </c>
      <c r="C9" s="69">
        <v>160.5</v>
      </c>
      <c r="E9" s="256">
        <f t="shared" si="2"/>
        <v>2.2245349291010852E-2</v>
      </c>
      <c r="F9" s="256">
        <f t="shared" si="3"/>
        <v>2.2944550669216079E-2</v>
      </c>
      <c r="G9" s="258">
        <v>1997</v>
      </c>
      <c r="H9" s="259">
        <f t="shared" si="0"/>
        <v>0.6419035615926808</v>
      </c>
      <c r="I9" s="259">
        <f t="shared" si="1"/>
        <v>0.74546104791851486</v>
      </c>
      <c r="Q9" s="164"/>
    </row>
    <row r="10" spans="1:17" ht="15.75">
      <c r="A10" s="69">
        <v>1998</v>
      </c>
      <c r="B10" s="69">
        <v>56.078000000000003</v>
      </c>
      <c r="C10" s="69">
        <v>163</v>
      </c>
      <c r="E10" s="256">
        <f t="shared" si="2"/>
        <v>1.9488783041849977E-2</v>
      </c>
      <c r="F10" s="256">
        <f t="shared" si="3"/>
        <v>1.5576323987538832E-2</v>
      </c>
      <c r="G10" s="258">
        <v>1998</v>
      </c>
      <c r="H10" s="259">
        <f t="shared" si="0"/>
        <v>0.65441348083835138</v>
      </c>
      <c r="I10" s="259">
        <f t="shared" si="1"/>
        <v>0.75707259072098387</v>
      </c>
      <c r="Q10" s="164"/>
    </row>
    <row r="11" spans="1:17" ht="15.75">
      <c r="A11" s="69">
        <v>1999</v>
      </c>
      <c r="B11" s="69">
        <v>58.231000000000002</v>
      </c>
      <c r="C11" s="69">
        <v>166.6</v>
      </c>
      <c r="E11" s="256">
        <f t="shared" si="2"/>
        <v>3.8392952673062419E-2</v>
      </c>
      <c r="F11" s="256">
        <f t="shared" si="3"/>
        <v>2.208588957055202E-2</v>
      </c>
      <c r="G11" s="258">
        <v>1999</v>
      </c>
      <c r="H11" s="259">
        <f t="shared" si="0"/>
        <v>0.67953834663679236</v>
      </c>
      <c r="I11" s="259">
        <f t="shared" si="1"/>
        <v>0.77379321235653942</v>
      </c>
      <c r="Q11" s="164"/>
    </row>
    <row r="12" spans="1:17" ht="15.75">
      <c r="A12" s="69">
        <v>2000</v>
      </c>
      <c r="B12" s="69">
        <v>61.03</v>
      </c>
      <c r="C12" s="69">
        <v>172.2</v>
      </c>
      <c r="E12" s="256">
        <f t="shared" si="2"/>
        <v>4.8067180711304891E-2</v>
      </c>
      <c r="F12" s="256">
        <f t="shared" si="3"/>
        <v>3.3613445378151141E-2</v>
      </c>
      <c r="G12" s="258">
        <v>2000</v>
      </c>
      <c r="H12" s="259">
        <f t="shared" si="0"/>
        <v>0.71220183914484436</v>
      </c>
      <c r="I12" s="259">
        <f t="shared" si="1"/>
        <v>0.7998030682340701</v>
      </c>
      <c r="Q12" s="164"/>
    </row>
    <row r="13" spans="1:17" ht="15.75">
      <c r="A13" s="69">
        <v>2001</v>
      </c>
      <c r="B13" s="69">
        <v>63.128</v>
      </c>
      <c r="C13" s="69">
        <v>177.1</v>
      </c>
      <c r="E13" s="256">
        <f t="shared" si="2"/>
        <v>3.4376536129772317E-2</v>
      </c>
      <c r="F13" s="256">
        <f t="shared" si="3"/>
        <v>2.8455284552845628E-2</v>
      </c>
      <c r="G13" s="258">
        <v>2001</v>
      </c>
      <c r="H13" s="259">
        <f t="shared" si="0"/>
        <v>0.73668487139989736</v>
      </c>
      <c r="I13" s="259">
        <f t="shared" si="1"/>
        <v>0.82256169212690955</v>
      </c>
      <c r="Q13" s="164"/>
    </row>
    <row r="14" spans="1:17" ht="15.75">
      <c r="A14" s="69">
        <v>2002</v>
      </c>
      <c r="B14" s="69">
        <v>64.537999999999997</v>
      </c>
      <c r="C14" s="69">
        <v>179.9</v>
      </c>
      <c r="E14" s="256">
        <f t="shared" si="2"/>
        <v>2.2335572170827378E-2</v>
      </c>
      <c r="F14" s="256">
        <f t="shared" si="3"/>
        <v>1.5810276679842028E-2</v>
      </c>
      <c r="G14" s="258">
        <v>2002</v>
      </c>
      <c r="H14" s="259">
        <f t="shared" si="0"/>
        <v>0.75313914951220651</v>
      </c>
      <c r="I14" s="259">
        <f t="shared" si="1"/>
        <v>0.83556662006567495</v>
      </c>
      <c r="Q14" s="164"/>
    </row>
    <row r="15" spans="1:17" ht="15.75">
      <c r="A15" s="69">
        <v>2003</v>
      </c>
      <c r="B15" s="69">
        <v>66.646000000000001</v>
      </c>
      <c r="C15" s="69">
        <v>184</v>
      </c>
      <c r="E15" s="256">
        <f t="shared" si="2"/>
        <v>3.2662927267656405E-2</v>
      </c>
      <c r="F15" s="256">
        <f t="shared" si="3"/>
        <v>2.2790439132851503E-2</v>
      </c>
      <c r="G15" s="258">
        <v>2003</v>
      </c>
      <c r="H15" s="259">
        <f t="shared" si="0"/>
        <v>0.77773887877514825</v>
      </c>
      <c r="I15" s="259">
        <f t="shared" si="1"/>
        <v>0.85460955026172414</v>
      </c>
      <c r="Q15" s="164"/>
    </row>
    <row r="16" spans="1:17" ht="15.75">
      <c r="A16" s="69">
        <v>2004</v>
      </c>
      <c r="B16" s="69">
        <v>69.725999999999999</v>
      </c>
      <c r="C16" s="69">
        <v>188.9</v>
      </c>
      <c r="E16" s="256">
        <f t="shared" si="2"/>
        <v>4.6214326441196718E-2</v>
      </c>
      <c r="F16" s="256">
        <f t="shared" si="3"/>
        <v>2.6630434782608736E-2</v>
      </c>
      <c r="G16" s="258">
        <v>2004</v>
      </c>
      <c r="H16" s="259">
        <f t="shared" si="0"/>
        <v>0.81368155720487334</v>
      </c>
      <c r="I16" s="259">
        <f t="shared" si="1"/>
        <v>0.87736817415456358</v>
      </c>
      <c r="Q16" s="164"/>
    </row>
    <row r="17" spans="1:17" ht="15.75">
      <c r="A17" s="69">
        <v>2005</v>
      </c>
      <c r="B17" s="161">
        <v>73.667000000000002</v>
      </c>
      <c r="C17" s="69">
        <v>195.3</v>
      </c>
      <c r="E17" s="256">
        <f t="shared" si="2"/>
        <v>5.6521240283395002E-2</v>
      </c>
      <c r="F17" s="256">
        <f t="shared" si="3"/>
        <v>3.3880359978824881E-2</v>
      </c>
      <c r="G17" s="258">
        <v>2005</v>
      </c>
      <c r="H17" s="259">
        <f t="shared" si="0"/>
        <v>0.85967184801381702</v>
      </c>
      <c r="I17" s="259">
        <f t="shared" si="1"/>
        <v>0.90709372372888453</v>
      </c>
      <c r="Q17" s="164"/>
    </row>
    <row r="18" spans="1:17" ht="15.75">
      <c r="A18" s="69">
        <v>2006</v>
      </c>
      <c r="B18" s="161">
        <v>77.406000000000006</v>
      </c>
      <c r="C18" s="69">
        <v>201.6</v>
      </c>
      <c r="E18" s="256">
        <f t="shared" si="2"/>
        <v>5.0755426446034146E-2</v>
      </c>
      <c r="F18" s="256">
        <f t="shared" si="3"/>
        <v>3.2258064516129004E-2</v>
      </c>
      <c r="G18" s="258">
        <v>2006</v>
      </c>
      <c r="H18" s="259">
        <f t="shared" si="0"/>
        <v>0.90330485926340864</v>
      </c>
      <c r="I18" s="259">
        <f t="shared" si="1"/>
        <v>0.93635481159110645</v>
      </c>
      <c r="Q18" s="164"/>
    </row>
    <row r="19" spans="1:17" ht="15.75">
      <c r="A19" s="69">
        <v>2007</v>
      </c>
      <c r="B19" s="161">
        <v>81.602999999999994</v>
      </c>
      <c r="C19" s="69">
        <v>207.34200000000001</v>
      </c>
      <c r="E19" s="256">
        <f t="shared" si="2"/>
        <v>5.422060305402665E-2</v>
      </c>
      <c r="F19" s="256">
        <f t="shared" si="3"/>
        <v>2.84821428571429E-2</v>
      </c>
      <c r="G19" s="258">
        <v>2007</v>
      </c>
      <c r="H19" s="259">
        <f t="shared" si="0"/>
        <v>0.95228259347430333</v>
      </c>
      <c r="I19" s="259">
        <f t="shared" si="1"/>
        <v>0.96302420309981751</v>
      </c>
      <c r="Q19" s="165"/>
    </row>
    <row r="20" spans="1:17" ht="15.75">
      <c r="A20" s="69">
        <v>2008</v>
      </c>
      <c r="B20" s="161">
        <v>85.691999999999993</v>
      </c>
      <c r="C20" s="69">
        <v>215.303</v>
      </c>
      <c r="E20" s="256">
        <f t="shared" si="2"/>
        <v>5.0108451895150896E-2</v>
      </c>
      <c r="F20" s="256">
        <f t="shared" si="3"/>
        <v>3.8395501152684863E-2</v>
      </c>
      <c r="G20" s="258">
        <v>2008</v>
      </c>
      <c r="H20" s="259">
        <f t="shared" si="0"/>
        <v>1</v>
      </c>
      <c r="I20" s="259">
        <f t="shared" si="1"/>
        <v>1</v>
      </c>
      <c r="Q20" s="165"/>
    </row>
    <row r="21" spans="1:17" ht="15.75">
      <c r="A21" s="69">
        <v>2009</v>
      </c>
      <c r="B21" s="161">
        <v>85.200999999999993</v>
      </c>
      <c r="C21" s="69">
        <v>214.53700000000001</v>
      </c>
      <c r="E21" s="256">
        <f t="shared" si="2"/>
        <v>-5.7298230873360501E-3</v>
      </c>
      <c r="F21" s="256">
        <f t="shared" si="3"/>
        <v>-3.5577767146764971E-3</v>
      </c>
      <c r="G21" s="258">
        <v>2009</v>
      </c>
      <c r="H21" s="259">
        <f t="shared" si="0"/>
        <v>0.99427017691266395</v>
      </c>
      <c r="I21" s="259">
        <f t="shared" si="1"/>
        <v>0.9964422232853235</v>
      </c>
      <c r="Q21" s="165"/>
    </row>
    <row r="22" spans="1:17" ht="15.75">
      <c r="A22" s="69">
        <v>2010</v>
      </c>
      <c r="B22" s="161">
        <v>87.641999999999996</v>
      </c>
      <c r="C22" s="69">
        <v>218.05600000000001</v>
      </c>
      <c r="E22" s="256">
        <f t="shared" si="2"/>
        <v>2.8649898475370028E-2</v>
      </c>
      <c r="F22" s="256">
        <f t="shared" si="3"/>
        <v>1.6402765024214894E-2</v>
      </c>
      <c r="G22" s="258">
        <v>2010</v>
      </c>
      <c r="H22" s="259">
        <f t="shared" si="0"/>
        <v>1.0227559165383</v>
      </c>
      <c r="I22" s="259">
        <f t="shared" si="1"/>
        <v>1.0127866309340789</v>
      </c>
      <c r="Q22" s="165"/>
    </row>
    <row r="23" spans="1:17" ht="15.75">
      <c r="A23" s="69">
        <v>2011</v>
      </c>
      <c r="B23" s="161">
        <v>90.494</v>
      </c>
      <c r="C23" s="69">
        <v>224.93899999999999</v>
      </c>
      <c r="E23" s="256">
        <f t="shared" si="2"/>
        <v>3.2541475548253151E-2</v>
      </c>
      <c r="F23" s="256">
        <f t="shared" si="3"/>
        <v>3.1565285981582702E-2</v>
      </c>
      <c r="G23" s="258">
        <v>2011</v>
      </c>
      <c r="H23" s="259">
        <f t="shared" si="0"/>
        <v>1.0560379031881624</v>
      </c>
      <c r="I23" s="259">
        <f t="shared" si="1"/>
        <v>1.0447555305778369</v>
      </c>
      <c r="Q23" s="165"/>
    </row>
    <row r="24" spans="1:17" ht="15.75">
      <c r="A24" s="69">
        <v>2012</v>
      </c>
      <c r="B24" s="161">
        <v>92.578999999999994</v>
      </c>
      <c r="C24" s="69">
        <v>229.59399999999999</v>
      </c>
      <c r="E24" s="256">
        <f t="shared" si="2"/>
        <v>2.304020156032438E-2</v>
      </c>
      <c r="F24" s="256">
        <f t="shared" si="3"/>
        <v>2.0694499397614363E-2</v>
      </c>
      <c r="G24" s="258">
        <v>2012</v>
      </c>
      <c r="H24" s="259">
        <f t="shared" si="0"/>
        <v>1.0803692293329599</v>
      </c>
      <c r="I24" s="259">
        <f t="shared" si="1"/>
        <v>1.0663762232760343</v>
      </c>
      <c r="Q24" s="165"/>
    </row>
    <row r="25" spans="1:17" ht="15.75">
      <c r="A25" s="69">
        <v>2013</v>
      </c>
      <c r="B25" s="161">
        <v>95.653999999999996</v>
      </c>
      <c r="C25" s="69">
        <v>232.95699999999999</v>
      </c>
      <c r="E25" s="256">
        <f t="shared" si="2"/>
        <v>3.3214875943788691E-2</v>
      </c>
      <c r="F25" s="256">
        <f t="shared" si="3"/>
        <v>1.4647595320435247E-2</v>
      </c>
      <c r="G25" s="258">
        <v>2013</v>
      </c>
      <c r="H25" s="259">
        <f t="shared" si="0"/>
        <v>1.1162535592587406</v>
      </c>
      <c r="I25" s="259">
        <f t="shared" si="1"/>
        <v>1.0819960706539156</v>
      </c>
      <c r="Q25" s="165"/>
    </row>
    <row r="26" spans="1:17" ht="15.75">
      <c r="A26" s="69">
        <v>2014</v>
      </c>
      <c r="B26" s="161">
        <v>97.804000000000002</v>
      </c>
      <c r="C26" s="69">
        <v>236.73599999999999</v>
      </c>
      <c r="E26" s="256">
        <f t="shared" ref="E26" si="4">+B26/B25-1</f>
        <v>2.247684362389446E-2</v>
      </c>
      <c r="F26" s="256">
        <f t="shared" ref="F26" si="5">+C26/C25-1</f>
        <v>1.6221877857286904E-2</v>
      </c>
      <c r="G26" s="258">
        <v>2014</v>
      </c>
      <c r="H26" s="259">
        <f t="shared" si="0"/>
        <v>1.141343415954815</v>
      </c>
      <c r="I26" s="259">
        <f t="shared" si="1"/>
        <v>1.0995480787541279</v>
      </c>
    </row>
    <row r="27" spans="1:17" ht="15.75">
      <c r="A27" s="69">
        <v>2015</v>
      </c>
      <c r="B27" s="161">
        <v>97.566999999999993</v>
      </c>
      <c r="C27" s="69">
        <v>237.017</v>
      </c>
      <c r="E27" s="256">
        <f t="shared" ref="E27:E36" si="6">+B27/B26-1</f>
        <v>-2.4232137744878424E-3</v>
      </c>
      <c r="F27" s="256">
        <f t="shared" ref="F27:F36" si="7">+C27/C26-1</f>
        <v>1.1869762097864722E-3</v>
      </c>
      <c r="G27" s="258">
        <v>2015</v>
      </c>
      <c r="H27" s="259">
        <f t="shared" si="0"/>
        <v>1.1385776968678523</v>
      </c>
      <c r="I27" s="259">
        <f t="shared" si="1"/>
        <v>1.1008532161651254</v>
      </c>
    </row>
    <row r="28" spans="1:17" ht="15.75">
      <c r="A28" s="69">
        <v>2016</v>
      </c>
      <c r="B28" s="161">
        <v>97.504999999999995</v>
      </c>
      <c r="C28" s="69">
        <v>240.00700000000001</v>
      </c>
      <c r="E28" s="256">
        <f t="shared" si="6"/>
        <v>-6.3546076029807885E-4</v>
      </c>
      <c r="F28" s="256">
        <f t="shared" si="7"/>
        <v>1.2615128872612624E-2</v>
      </c>
      <c r="G28" s="258">
        <v>2016</v>
      </c>
      <c r="H28" s="259">
        <f t="shared" si="0"/>
        <v>1.1378541754189424</v>
      </c>
      <c r="I28" s="259">
        <f t="shared" si="1"/>
        <v>1.1147406213568785</v>
      </c>
    </row>
    <row r="29" spans="1:17" ht="15.75">
      <c r="A29" s="69">
        <v>2017</v>
      </c>
      <c r="B29" s="161">
        <v>100</v>
      </c>
      <c r="C29" s="69">
        <v>245.12</v>
      </c>
      <c r="E29" s="256">
        <f t="shared" si="6"/>
        <v>2.5588431362494335E-2</v>
      </c>
      <c r="F29" s="256">
        <f t="shared" si="7"/>
        <v>2.1303545313261729E-2</v>
      </c>
      <c r="G29" s="258">
        <v>2017</v>
      </c>
      <c r="H29" s="259">
        <f t="shared" si="0"/>
        <v>1.1669700788871775</v>
      </c>
      <c r="I29" s="259">
        <f t="shared" si="1"/>
        <v>1.1384885486964882</v>
      </c>
    </row>
    <row r="30" spans="1:17" ht="15.75">
      <c r="A30" s="69">
        <v>2018</v>
      </c>
      <c r="B30" s="161">
        <v>104.126</v>
      </c>
      <c r="C30" s="69">
        <v>251.107</v>
      </c>
      <c r="E30" s="256">
        <f t="shared" si="6"/>
        <v>4.1260000000000074E-2</v>
      </c>
      <c r="F30" s="256">
        <f t="shared" si="7"/>
        <v>2.4424771540469958E-2</v>
      </c>
      <c r="G30" s="258">
        <v>2018</v>
      </c>
      <c r="H30" s="259">
        <f t="shared" si="0"/>
        <v>1.2151192643420625</v>
      </c>
      <c r="I30" s="259">
        <f t="shared" si="1"/>
        <v>1.1662958713998413</v>
      </c>
    </row>
    <row r="31" spans="1:17" ht="15.75">
      <c r="A31" s="69">
        <v>2019</v>
      </c>
      <c r="B31" s="161">
        <v>105.63800000000001</v>
      </c>
      <c r="C31" s="69">
        <v>255.65700000000001</v>
      </c>
      <c r="E31" s="256">
        <f t="shared" si="6"/>
        <v>1.452086894723692E-2</v>
      </c>
      <c r="F31" s="256">
        <f t="shared" si="7"/>
        <v>1.811976567757978E-2</v>
      </c>
      <c r="G31" s="258">
        <v>2019</v>
      </c>
      <c r="H31" s="259">
        <f t="shared" si="0"/>
        <v>1.2327638519348365</v>
      </c>
      <c r="I31" s="259">
        <f t="shared" si="1"/>
        <v>1.1874288793003349</v>
      </c>
    </row>
    <row r="32" spans="1:17" ht="15.75">
      <c r="A32" s="69">
        <v>2020</v>
      </c>
      <c r="B32" s="161">
        <v>108.65</v>
      </c>
      <c r="C32" s="69">
        <v>258.81099999999998</v>
      </c>
      <c r="E32" s="256">
        <f t="shared" si="6"/>
        <v>2.8512467104640393E-2</v>
      </c>
      <c r="F32" s="256">
        <f t="shared" si="7"/>
        <v>1.2336841940568721E-2</v>
      </c>
      <c r="G32" s="258">
        <v>2020</v>
      </c>
      <c r="H32" s="259">
        <f t="shared" si="0"/>
        <v>1.2679129907109183</v>
      </c>
      <c r="I32" s="259">
        <f t="shared" si="1"/>
        <v>1.2020780016999297</v>
      </c>
    </row>
    <row r="33" spans="1:9" ht="15.75">
      <c r="A33" s="69">
        <v>2021</v>
      </c>
      <c r="B33" s="161">
        <v>115.855</v>
      </c>
      <c r="C33" s="69">
        <v>270.97000000000003</v>
      </c>
      <c r="E33" s="256">
        <f t="shared" si="6"/>
        <v>6.6313851817763503E-2</v>
      </c>
      <c r="F33" s="256">
        <f t="shared" si="7"/>
        <v>4.6980228815622471E-2</v>
      </c>
      <c r="G33" s="258">
        <v>2021</v>
      </c>
      <c r="H33" s="259">
        <f t="shared" si="0"/>
        <v>1.3519931848947395</v>
      </c>
      <c r="I33" s="259">
        <f t="shared" si="1"/>
        <v>1.2585519012740187</v>
      </c>
    </row>
    <row r="34" spans="1:9" ht="15.75">
      <c r="A34" s="69">
        <v>2022</v>
      </c>
      <c r="B34" s="161">
        <v>125.30500000000001</v>
      </c>
      <c r="C34" s="69">
        <v>292.65499999999997</v>
      </c>
      <c r="E34" s="256">
        <f t="shared" si="6"/>
        <v>8.1567476587113275E-2</v>
      </c>
      <c r="F34" s="256">
        <f t="shared" si="7"/>
        <v>8.0027309296231808E-2</v>
      </c>
      <c r="G34" s="258">
        <v>2022</v>
      </c>
      <c r="H34" s="259">
        <f t="shared" si="0"/>
        <v>1.4622718573495777</v>
      </c>
      <c r="I34" s="259">
        <f t="shared" si="1"/>
        <v>1.3592704235426352</v>
      </c>
    </row>
    <row r="35" spans="1:9" ht="15.75">
      <c r="A35" s="69">
        <v>2023</v>
      </c>
      <c r="B35" s="161">
        <v>127.744</v>
      </c>
      <c r="C35" s="69">
        <v>304.702</v>
      </c>
      <c r="E35" s="256">
        <f t="shared" si="6"/>
        <v>1.9464506603886544E-2</v>
      </c>
      <c r="F35" s="256">
        <f t="shared" si="7"/>
        <v>4.1164511113768842E-2</v>
      </c>
      <c r="G35" s="258">
        <v>2023</v>
      </c>
      <c r="H35" s="259">
        <f t="shared" si="0"/>
        <v>1.490734257573636</v>
      </c>
      <c r="I35" s="259">
        <f t="shared" si="1"/>
        <v>1.4152241259991734</v>
      </c>
    </row>
    <row r="36" spans="1:9" ht="15.75">
      <c r="A36" s="69">
        <v>2024</v>
      </c>
      <c r="B36" s="161">
        <v>130.23099999999999</v>
      </c>
      <c r="C36" s="69">
        <v>313.68900000000002</v>
      </c>
      <c r="E36" s="256">
        <f t="shared" si="6"/>
        <v>1.9468624749499064E-2</v>
      </c>
      <c r="F36" s="256">
        <f t="shared" si="7"/>
        <v>2.9494391241278395E-2</v>
      </c>
      <c r="G36" s="258">
        <v>2024</v>
      </c>
      <c r="H36" s="259">
        <f t="shared" si="0"/>
        <v>1.51975680343556</v>
      </c>
      <c r="I36" s="259">
        <f t="shared" si="1"/>
        <v>1.4569653000654892</v>
      </c>
    </row>
  </sheetData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7" tint="0.59999389629810485"/>
  </sheetPr>
  <dimension ref="A1:M27"/>
  <sheetViews>
    <sheetView zoomScale="115" zoomScaleNormal="115" workbookViewId="0">
      <selection activeCell="I5" sqref="I5"/>
    </sheetView>
  </sheetViews>
  <sheetFormatPr defaultRowHeight="15"/>
  <cols>
    <col min="2" max="2" width="15" customWidth="1"/>
    <col min="3" max="3" width="21" customWidth="1"/>
    <col min="4" max="4" width="18.85546875" customWidth="1"/>
    <col min="5" max="5" width="4.28515625" customWidth="1"/>
    <col min="6" max="6" width="14" customWidth="1"/>
    <col min="7" max="7" width="14.85546875" customWidth="1"/>
    <col min="11" max="11" width="9.5703125" bestFit="1" customWidth="1"/>
  </cols>
  <sheetData>
    <row r="1" spans="1:13" ht="15.75">
      <c r="A1" s="67"/>
      <c r="B1" s="67"/>
      <c r="C1" s="67"/>
      <c r="D1" s="67"/>
    </row>
    <row r="2" spans="1:13" ht="57.75">
      <c r="A2" s="166"/>
      <c r="B2" s="167" t="s">
        <v>125</v>
      </c>
      <c r="C2" s="167" t="s">
        <v>385</v>
      </c>
      <c r="D2" s="167" t="s">
        <v>370</v>
      </c>
      <c r="F2" s="168" t="s">
        <v>107</v>
      </c>
      <c r="G2" s="167" t="s">
        <v>371</v>
      </c>
    </row>
    <row r="3" spans="1:13">
      <c r="A3" s="169">
        <v>2000</v>
      </c>
      <c r="B3" s="260">
        <v>4800000</v>
      </c>
      <c r="C3" s="172">
        <v>61.03</v>
      </c>
      <c r="D3" s="260">
        <f>($C$22/C3)*B3</f>
        <v>8308412.2562674098</v>
      </c>
      <c r="F3" s="172">
        <v>172.2</v>
      </c>
      <c r="G3" s="260">
        <f>($F$22/F3)*B3</f>
        <v>7126327.5261324057</v>
      </c>
      <c r="K3" s="292">
        <v>36526</v>
      </c>
      <c r="L3">
        <v>61.03</v>
      </c>
      <c r="M3">
        <f t="shared" ref="M3:M11" si="0">L3/$L$12*100</f>
        <v>71.630614664147146</v>
      </c>
    </row>
    <row r="4" spans="1:13">
      <c r="A4" s="170">
        <v>2001</v>
      </c>
      <c r="B4" s="260">
        <v>5200000</v>
      </c>
      <c r="C4" s="173">
        <v>63.128</v>
      </c>
      <c r="D4" s="260">
        <f t="shared" ref="D4:D22" si="1">($C$22/C4)*B4</f>
        <v>8701647.4464579914</v>
      </c>
      <c r="F4" s="173">
        <v>177.1</v>
      </c>
      <c r="G4" s="260">
        <f t="shared" ref="G4:G22" si="2">($F$22/F4)*B4</f>
        <v>7506586.1095426325</v>
      </c>
      <c r="K4" s="292">
        <v>36892</v>
      </c>
      <c r="L4">
        <v>63.128</v>
      </c>
      <c r="M4">
        <f t="shared" si="0"/>
        <v>74.093027077146985</v>
      </c>
    </row>
    <row r="5" spans="1:13">
      <c r="A5" s="170">
        <v>2002</v>
      </c>
      <c r="B5" s="260">
        <v>5700000</v>
      </c>
      <c r="C5" s="173">
        <v>64.537999999999997</v>
      </c>
      <c r="D5" s="260">
        <f t="shared" si="1"/>
        <v>9329954.4454429951</v>
      </c>
      <c r="F5" s="173">
        <v>179.9</v>
      </c>
      <c r="G5" s="260">
        <f t="shared" si="2"/>
        <v>8100305.169538632</v>
      </c>
      <c r="K5" s="292">
        <v>37257</v>
      </c>
      <c r="L5">
        <v>64.537999999999997</v>
      </c>
      <c r="M5">
        <f t="shared" si="0"/>
        <v>75.747937230783677</v>
      </c>
    </row>
    <row r="6" spans="1:13">
      <c r="A6" s="170">
        <v>2003</v>
      </c>
      <c r="B6" s="261">
        <v>6400000</v>
      </c>
      <c r="C6" s="173">
        <v>66.646000000000001</v>
      </c>
      <c r="D6" s="261">
        <f t="shared" si="1"/>
        <v>10144392.761756144</v>
      </c>
      <c r="F6" s="173">
        <v>184</v>
      </c>
      <c r="G6" s="261">
        <f t="shared" si="2"/>
        <v>8892417.3913043477</v>
      </c>
      <c r="K6" s="292">
        <v>37622</v>
      </c>
      <c r="L6">
        <v>66.646000000000001</v>
      </c>
      <c r="M6">
        <f t="shared" si="0"/>
        <v>78.222086595227751</v>
      </c>
    </row>
    <row r="7" spans="1:13" ht="15.75" thickBot="1">
      <c r="A7" s="171">
        <v>2004</v>
      </c>
      <c r="B7" s="262">
        <v>7200000</v>
      </c>
      <c r="C7" s="174">
        <v>69.725999999999999</v>
      </c>
      <c r="D7" s="262">
        <f t="shared" si="1"/>
        <v>10908321.1427588</v>
      </c>
      <c r="F7" s="174">
        <v>188.9</v>
      </c>
      <c r="G7" s="262">
        <f t="shared" si="2"/>
        <v>9744470.0899947062</v>
      </c>
      <c r="K7" s="292">
        <v>37987</v>
      </c>
      <c r="L7">
        <v>69.725999999999999</v>
      </c>
      <c r="M7">
        <f t="shared" si="0"/>
        <v>81.837067640051174</v>
      </c>
    </row>
    <row r="8" spans="1:13">
      <c r="A8" s="170">
        <v>2005</v>
      </c>
      <c r="B8" s="261">
        <v>7900000</v>
      </c>
      <c r="C8" s="173">
        <v>73.667000000000002</v>
      </c>
      <c r="D8" s="261">
        <f t="shared" si="1"/>
        <v>11328548.739598462</v>
      </c>
      <c r="F8" s="173">
        <v>195.3</v>
      </c>
      <c r="G8" s="261">
        <f t="shared" si="2"/>
        <v>10341476.19047619</v>
      </c>
      <c r="K8" s="292">
        <v>38353</v>
      </c>
      <c r="L8">
        <v>73.667000000000002</v>
      </c>
      <c r="M8">
        <f t="shared" si="0"/>
        <v>86.462600204222966</v>
      </c>
    </row>
    <row r="9" spans="1:13">
      <c r="A9" s="170">
        <v>2006</v>
      </c>
      <c r="B9" s="261">
        <v>8200000</v>
      </c>
      <c r="C9" s="173">
        <v>77.406000000000006</v>
      </c>
      <c r="D9" s="261">
        <f t="shared" si="1"/>
        <v>11190755.238611994</v>
      </c>
      <c r="F9" s="173">
        <v>201.6</v>
      </c>
      <c r="G9" s="261">
        <f t="shared" si="2"/>
        <v>10398747.023809524</v>
      </c>
      <c r="K9" s="292">
        <v>38718</v>
      </c>
      <c r="L9">
        <v>77.406000000000006</v>
      </c>
      <c r="M9">
        <f t="shared" si="0"/>
        <v>90.851046349221264</v>
      </c>
    </row>
    <row r="10" spans="1:13">
      <c r="A10" s="170">
        <v>2007</v>
      </c>
      <c r="B10" s="261">
        <v>8500000</v>
      </c>
      <c r="C10" s="173">
        <v>81.602999999999994</v>
      </c>
      <c r="D10" s="261">
        <f t="shared" si="1"/>
        <v>11003553.790914552</v>
      </c>
      <c r="F10" s="173">
        <v>207.34200000000001</v>
      </c>
      <c r="G10" s="261">
        <f t="shared" si="2"/>
        <v>10480676.85273606</v>
      </c>
      <c r="K10" s="292">
        <v>39083</v>
      </c>
      <c r="L10">
        <v>81.602999999999994</v>
      </c>
      <c r="M10">
        <f t="shared" si="0"/>
        <v>95.777044870365373</v>
      </c>
    </row>
    <row r="11" spans="1:13">
      <c r="A11" s="170">
        <v>2008</v>
      </c>
      <c r="B11" s="261">
        <v>9000000</v>
      </c>
      <c r="C11" s="173">
        <v>85.691999999999993</v>
      </c>
      <c r="D11" s="261">
        <f t="shared" si="1"/>
        <v>11094874.667413529</v>
      </c>
      <c r="F11" s="173">
        <v>215.303</v>
      </c>
      <c r="G11" s="261">
        <f t="shared" si="2"/>
        <v>10686859.913703015</v>
      </c>
      <c r="K11" s="292">
        <v>39448</v>
      </c>
      <c r="L11">
        <v>85.691999999999993</v>
      </c>
      <c r="M11">
        <f t="shared" si="0"/>
        <v>100.57628431591179</v>
      </c>
    </row>
    <row r="12" spans="1:13" ht="15.75" thickBot="1">
      <c r="A12" s="171">
        <v>2009</v>
      </c>
      <c r="B12" s="262">
        <v>9400000</v>
      </c>
      <c r="C12" s="174">
        <v>85.200999999999993</v>
      </c>
      <c r="D12" s="262">
        <f t="shared" si="1"/>
        <v>11654759.92065821</v>
      </c>
      <c r="F12" s="174">
        <v>214.53700000000001</v>
      </c>
      <c r="G12" s="262">
        <f t="shared" si="2"/>
        <v>11201684.557908425</v>
      </c>
      <c r="K12" s="292">
        <v>39814</v>
      </c>
      <c r="L12">
        <v>85.200999999999993</v>
      </c>
      <c r="M12">
        <f>L12/$L$12*100</f>
        <v>100</v>
      </c>
    </row>
    <row r="13" spans="1:13">
      <c r="A13" s="170">
        <v>2010</v>
      </c>
      <c r="B13" s="261">
        <v>9600000</v>
      </c>
      <c r="C13" s="173">
        <v>87.641999999999996</v>
      </c>
      <c r="D13" s="261">
        <f t="shared" si="1"/>
        <v>11571219.27842815</v>
      </c>
      <c r="F13" s="173">
        <v>218.05600000000001</v>
      </c>
      <c r="G13" s="261">
        <f t="shared" si="2"/>
        <v>11255398.613200277</v>
      </c>
      <c r="K13" s="292">
        <v>40179</v>
      </c>
      <c r="L13">
        <v>87.641999999999996</v>
      </c>
      <c r="M13">
        <f t="shared" ref="M13:M27" si="3">L13/$L$12*100</f>
        <v>102.864989847537</v>
      </c>
    </row>
    <row r="14" spans="1:13">
      <c r="A14" s="170">
        <v>2011</v>
      </c>
      <c r="B14" s="261">
        <v>10200000</v>
      </c>
      <c r="C14" s="173">
        <v>90.494</v>
      </c>
      <c r="D14" s="261">
        <f t="shared" si="1"/>
        <v>11906950.737065442</v>
      </c>
      <c r="F14" s="173">
        <v>224.93899999999999</v>
      </c>
      <c r="G14" s="261">
        <f t="shared" si="2"/>
        <v>11592926.971312223</v>
      </c>
      <c r="K14" s="292">
        <v>40544</v>
      </c>
      <c r="L14">
        <v>90.494</v>
      </c>
      <c r="M14">
        <f t="shared" si="3"/>
        <v>106.21236839943194</v>
      </c>
    </row>
    <row r="15" spans="1:13">
      <c r="A15" s="170">
        <v>2012</v>
      </c>
      <c r="B15" s="261">
        <v>10600000</v>
      </c>
      <c r="C15" s="173">
        <v>92.578999999999994</v>
      </c>
      <c r="D15" s="261">
        <f t="shared" si="1"/>
        <v>12095213.817388393</v>
      </c>
      <c r="F15" s="173">
        <v>229.59399999999999</v>
      </c>
      <c r="G15" s="261">
        <f t="shared" si="2"/>
        <v>11803288.413460283</v>
      </c>
      <c r="K15" s="292">
        <v>40909</v>
      </c>
      <c r="L15">
        <v>92.578999999999994</v>
      </c>
      <c r="M15">
        <f t="shared" si="3"/>
        <v>108.65952277555428</v>
      </c>
    </row>
    <row r="16" spans="1:13">
      <c r="A16" s="170">
        <v>2013</v>
      </c>
      <c r="B16" s="261">
        <v>10900000</v>
      </c>
      <c r="C16" s="173">
        <v>95.653999999999996</v>
      </c>
      <c r="D16" s="261">
        <f t="shared" si="1"/>
        <v>12037700.462082088</v>
      </c>
      <c r="F16" s="173">
        <v>232.95699999999999</v>
      </c>
      <c r="G16" s="261">
        <f t="shared" si="2"/>
        <v>11962127.345389923</v>
      </c>
      <c r="K16" s="292">
        <v>41275</v>
      </c>
      <c r="L16">
        <v>95.653999999999996</v>
      </c>
      <c r="M16">
        <f t="shared" si="3"/>
        <v>112.26863534465559</v>
      </c>
    </row>
    <row r="17" spans="1:13" ht="15.75" thickBot="1">
      <c r="A17" s="171">
        <v>2014</v>
      </c>
      <c r="B17" s="262">
        <v>11200000</v>
      </c>
      <c r="C17" s="174">
        <v>97.804000000000002</v>
      </c>
      <c r="D17" s="262">
        <f t="shared" si="1"/>
        <v>12097108.502719725</v>
      </c>
      <c r="F17" s="174">
        <v>236.73599999999999</v>
      </c>
      <c r="G17" s="262">
        <f t="shared" si="2"/>
        <v>12095154.095701542</v>
      </c>
      <c r="K17" s="292">
        <v>41640</v>
      </c>
      <c r="L17">
        <v>97.804000000000002</v>
      </c>
      <c r="M17">
        <f t="shared" si="3"/>
        <v>114.79207990516545</v>
      </c>
    </row>
    <row r="18" spans="1:13">
      <c r="A18" s="170">
        <v>2015</v>
      </c>
      <c r="B18" s="261">
        <v>11600000</v>
      </c>
      <c r="C18" s="173">
        <v>97.566999999999993</v>
      </c>
      <c r="D18" s="261">
        <f t="shared" si="1"/>
        <v>12559582.645771626</v>
      </c>
      <c r="F18" s="173">
        <v>237.017</v>
      </c>
      <c r="G18" s="261">
        <f t="shared" si="2"/>
        <v>12512272.115502262</v>
      </c>
      <c r="K18" s="292">
        <v>42005</v>
      </c>
      <c r="L18">
        <v>97.566999999999993</v>
      </c>
      <c r="M18">
        <f t="shared" si="3"/>
        <v>114.51391415593714</v>
      </c>
    </row>
    <row r="19" spans="1:13">
      <c r="A19" s="170">
        <v>2016</v>
      </c>
      <c r="B19" s="261">
        <v>11800000</v>
      </c>
      <c r="C19" s="173">
        <v>97.504999999999995</v>
      </c>
      <c r="D19" s="261">
        <f t="shared" si="1"/>
        <v>12784251.064047998</v>
      </c>
      <c r="F19" s="173">
        <v>240.00700000000001</v>
      </c>
      <c r="G19" s="261">
        <f t="shared" si="2"/>
        <v>12569435.891453166</v>
      </c>
      <c r="K19" s="292">
        <v>42370</v>
      </c>
      <c r="L19">
        <v>97.504999999999995</v>
      </c>
      <c r="M19">
        <f t="shared" si="3"/>
        <v>114.4411450569829</v>
      </c>
    </row>
    <row r="20" spans="1:13">
      <c r="A20" s="170">
        <v>2017</v>
      </c>
      <c r="B20" s="261">
        <v>11900000</v>
      </c>
      <c r="C20" s="173">
        <v>100</v>
      </c>
      <c r="D20" s="261">
        <f t="shared" si="1"/>
        <v>12570922.000000002</v>
      </c>
      <c r="F20" s="173">
        <v>245.12</v>
      </c>
      <c r="G20" s="261">
        <f t="shared" si="2"/>
        <v>12411546.589425588</v>
      </c>
      <c r="K20" s="292">
        <v>42736</v>
      </c>
      <c r="L20">
        <v>100</v>
      </c>
      <c r="M20">
        <f t="shared" si="3"/>
        <v>117.36951444231876</v>
      </c>
    </row>
    <row r="21" spans="1:13">
      <c r="A21" s="170">
        <v>2018</v>
      </c>
      <c r="B21" s="261">
        <v>12000000</v>
      </c>
      <c r="C21" s="173">
        <v>104.126</v>
      </c>
      <c r="D21" s="261">
        <f t="shared" si="1"/>
        <v>12174250.427366843</v>
      </c>
      <c r="F21" s="173">
        <v>251.107</v>
      </c>
      <c r="G21" s="261">
        <f t="shared" si="2"/>
        <v>12217437.188130958</v>
      </c>
      <c r="K21" s="292">
        <v>43101</v>
      </c>
      <c r="L21">
        <v>104.126</v>
      </c>
      <c r="M21">
        <f t="shared" si="3"/>
        <v>122.21218060820884</v>
      </c>
    </row>
    <row r="22" spans="1:13" ht="15.75" thickBot="1">
      <c r="A22" s="170">
        <v>2019</v>
      </c>
      <c r="B22" s="262">
        <v>12100000</v>
      </c>
      <c r="C22" s="174">
        <v>105.63800000000001</v>
      </c>
      <c r="D22" s="262">
        <f t="shared" si="1"/>
        <v>12100000</v>
      </c>
      <c r="F22" s="174">
        <v>255.65700000000001</v>
      </c>
      <c r="G22" s="262">
        <f t="shared" si="2"/>
        <v>12100000</v>
      </c>
      <c r="K22" s="292">
        <v>43466</v>
      </c>
      <c r="L22">
        <v>105.63800000000001</v>
      </c>
      <c r="M22">
        <f t="shared" si="3"/>
        <v>123.98680766657671</v>
      </c>
    </row>
    <row r="23" spans="1:13">
      <c r="A23" s="170">
        <v>2020</v>
      </c>
      <c r="B23" s="261">
        <v>12200000</v>
      </c>
      <c r="C23" s="173">
        <v>108.65</v>
      </c>
      <c r="D23" s="261">
        <f t="shared" ref="D23:D27" si="4">($C$22/C23)*B23</f>
        <v>11861791.072250346</v>
      </c>
      <c r="F23" s="173">
        <v>258.81099999999998</v>
      </c>
      <c r="G23" s="261">
        <f t="shared" ref="G23:G27" si="5">($F$22/F23)*B23</f>
        <v>12051324.711855371</v>
      </c>
      <c r="K23" s="292">
        <v>43831</v>
      </c>
      <c r="L23">
        <v>108.65</v>
      </c>
      <c r="M23">
        <f t="shared" si="3"/>
        <v>127.52197744157934</v>
      </c>
    </row>
    <row r="24" spans="1:13">
      <c r="A24" s="170">
        <v>2021</v>
      </c>
      <c r="B24" s="261">
        <v>12350000</v>
      </c>
      <c r="C24" s="173">
        <v>115.855</v>
      </c>
      <c r="D24" s="261">
        <f t="shared" si="4"/>
        <v>11260880.4108584</v>
      </c>
      <c r="F24" s="173">
        <v>270.97000000000003</v>
      </c>
      <c r="G24" s="261">
        <f t="shared" si="5"/>
        <v>11652079.381481344</v>
      </c>
      <c r="K24" s="292">
        <v>44197</v>
      </c>
      <c r="L24">
        <v>115.855</v>
      </c>
      <c r="M24">
        <f t="shared" si="3"/>
        <v>135.9784509571484</v>
      </c>
    </row>
    <row r="25" spans="1:13">
      <c r="A25" s="170">
        <v>2022</v>
      </c>
      <c r="B25" s="261">
        <v>12550000</v>
      </c>
      <c r="C25" s="173">
        <v>125.30500000000001</v>
      </c>
      <c r="D25" s="261">
        <f t="shared" si="4"/>
        <v>10580239.415825386</v>
      </c>
      <c r="F25" s="173">
        <v>292.65499999999997</v>
      </c>
      <c r="G25" s="261">
        <f t="shared" si="5"/>
        <v>10963405.204079891</v>
      </c>
      <c r="K25" s="292">
        <v>44562</v>
      </c>
      <c r="L25">
        <v>125.30500000000001</v>
      </c>
      <c r="M25">
        <f t="shared" si="3"/>
        <v>147.06987007194755</v>
      </c>
    </row>
    <row r="26" spans="1:13">
      <c r="A26" s="170">
        <v>2023</v>
      </c>
      <c r="B26" s="261">
        <v>13050000</v>
      </c>
      <c r="C26" s="173">
        <v>127.744</v>
      </c>
      <c r="D26" s="261">
        <f t="shared" si="4"/>
        <v>10791707.634018036</v>
      </c>
      <c r="F26" s="173">
        <v>304.702</v>
      </c>
      <c r="G26" s="261">
        <f t="shared" si="5"/>
        <v>10949464.887004353</v>
      </c>
      <c r="K26" s="292">
        <v>44927</v>
      </c>
      <c r="L26">
        <v>127.744</v>
      </c>
      <c r="M26">
        <f t="shared" si="3"/>
        <v>149.93251252919569</v>
      </c>
    </row>
    <row r="27" spans="1:13" ht="15.75" thickBot="1">
      <c r="A27" s="170">
        <v>2024</v>
      </c>
      <c r="B27" s="262">
        <v>13750000</v>
      </c>
      <c r="C27" s="174">
        <v>130.23099999999999</v>
      </c>
      <c r="D27" s="262">
        <f t="shared" si="4"/>
        <v>11153431.210694844</v>
      </c>
      <c r="F27" s="174">
        <v>313.68900000000002</v>
      </c>
      <c r="G27" s="262">
        <f t="shared" si="5"/>
        <v>11206270.382448858</v>
      </c>
      <c r="K27" s="292">
        <v>45292</v>
      </c>
      <c r="L27">
        <v>130.23099999999999</v>
      </c>
      <c r="M27">
        <f t="shared" si="3"/>
        <v>152.85149235337613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9" tint="0.39997558519241921"/>
  </sheetPr>
  <dimension ref="A1:D8"/>
  <sheetViews>
    <sheetView zoomScale="145" zoomScaleNormal="145" workbookViewId="0">
      <selection activeCell="H10" sqref="H10"/>
    </sheetView>
  </sheetViews>
  <sheetFormatPr defaultRowHeight="15"/>
  <cols>
    <col min="1" max="1" width="26.7109375" customWidth="1"/>
    <col min="2" max="4" width="12.7109375" customWidth="1"/>
  </cols>
  <sheetData>
    <row r="1" spans="1:4">
      <c r="A1" s="41" t="s">
        <v>248</v>
      </c>
      <c r="B1" s="210">
        <v>14000</v>
      </c>
      <c r="C1" s="41" t="s">
        <v>247</v>
      </c>
      <c r="D1" s="41"/>
    </row>
    <row r="2" spans="1:4">
      <c r="A2" s="41"/>
      <c r="B2" s="41"/>
      <c r="C2" s="41"/>
      <c r="D2" s="41"/>
    </row>
    <row r="3" spans="1:4">
      <c r="A3" s="208" t="s">
        <v>246</v>
      </c>
      <c r="B3" s="209">
        <v>50000</v>
      </c>
      <c r="C3" s="209">
        <v>50000</v>
      </c>
      <c r="D3" s="209">
        <v>50000</v>
      </c>
    </row>
    <row r="4" spans="1:4">
      <c r="A4" s="208" t="s">
        <v>245</v>
      </c>
      <c r="B4" s="62">
        <v>3</v>
      </c>
      <c r="C4" s="62">
        <v>4</v>
      </c>
      <c r="D4" s="62">
        <v>5</v>
      </c>
    </row>
    <row r="5" spans="1:4" ht="15.75" thickBot="1">
      <c r="A5" s="207" t="s">
        <v>244</v>
      </c>
      <c r="B5" s="211">
        <v>2000</v>
      </c>
      <c r="C5" s="211">
        <v>1200</v>
      </c>
      <c r="D5" s="211">
        <v>600</v>
      </c>
    </row>
    <row r="6" spans="1:4" ht="30.75" thickTop="1">
      <c r="A6" s="206" t="s">
        <v>243</v>
      </c>
      <c r="B6" s="205">
        <f>SLN(B3,B5,B4)</f>
        <v>16000</v>
      </c>
      <c r="C6" s="205">
        <f>SLN(C3,C5,C4)</f>
        <v>12200</v>
      </c>
      <c r="D6" s="205">
        <f>SLN(D3,D5,D4)</f>
        <v>9880</v>
      </c>
    </row>
    <row r="7" spans="1:4">
      <c r="A7" s="41"/>
      <c r="B7" s="41"/>
      <c r="C7" s="41"/>
      <c r="D7" s="41"/>
    </row>
    <row r="8" spans="1:4">
      <c r="A8" s="204" t="s">
        <v>242</v>
      </c>
      <c r="B8" s="41" t="s">
        <v>241</v>
      </c>
      <c r="C8" s="41"/>
      <c r="D8" s="41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theme="8" tint="0.39997558519241921"/>
  </sheetPr>
  <dimension ref="A1:L89"/>
  <sheetViews>
    <sheetView showGridLines="0" topLeftCell="A81" zoomScale="145" zoomScaleNormal="145" workbookViewId="0">
      <selection activeCell="A94" sqref="A94"/>
    </sheetView>
  </sheetViews>
  <sheetFormatPr defaultColWidth="9.140625" defaultRowHeight="12.75"/>
  <cols>
    <col min="1" max="1" width="17" style="71" bestFit="1" customWidth="1"/>
    <col min="2" max="2" width="14.85546875" style="71" bestFit="1" customWidth="1"/>
    <col min="3" max="3" width="16.42578125" style="71" bestFit="1" customWidth="1"/>
    <col min="4" max="4" width="15.28515625" style="71" customWidth="1"/>
    <col min="5" max="5" width="14.85546875" style="71" bestFit="1" customWidth="1"/>
    <col min="6" max="6" width="15.7109375" style="71" bestFit="1" customWidth="1"/>
    <col min="7" max="7" width="14.85546875" style="71" bestFit="1" customWidth="1"/>
    <col min="8" max="8" width="17.7109375" style="71" customWidth="1"/>
    <col min="9" max="9" width="48.85546875" style="71" customWidth="1"/>
    <col min="10" max="10" width="8" style="71" customWidth="1"/>
    <col min="11" max="1999" width="9.140625" style="71"/>
    <col min="2000" max="2000" width="2.28515625" style="71" customWidth="1"/>
    <col min="2001" max="16384" width="9.140625" style="71"/>
  </cols>
  <sheetData>
    <row r="1" spans="1:12">
      <c r="A1" s="71" t="s">
        <v>148</v>
      </c>
    </row>
    <row r="2" spans="1:12" ht="13.5" thickBot="1"/>
    <row r="3" spans="1:12" ht="13.5" thickBot="1">
      <c r="B3" s="135" t="s">
        <v>147</v>
      </c>
      <c r="C3" s="134" t="s">
        <v>146</v>
      </c>
      <c r="D3" s="133" t="s">
        <v>145</v>
      </c>
      <c r="E3" s="133" t="s">
        <v>144</v>
      </c>
      <c r="F3" s="133" t="s">
        <v>143</v>
      </c>
      <c r="G3" s="132" t="s">
        <v>142</v>
      </c>
      <c r="H3" s="131" t="s">
        <v>141</v>
      </c>
    </row>
    <row r="4" spans="1:12" ht="13.5" thickBot="1">
      <c r="B4" s="97"/>
      <c r="C4" s="112"/>
      <c r="G4" s="111"/>
      <c r="H4" s="93"/>
    </row>
    <row r="5" spans="1:12" ht="13.5" thickBot="1">
      <c r="A5" s="130" t="s">
        <v>140</v>
      </c>
      <c r="B5" s="129">
        <v>2500000000</v>
      </c>
      <c r="C5" s="128">
        <f>(1+C6)*B5</f>
        <v>2575000000</v>
      </c>
      <c r="D5" s="127">
        <f>(1+D6)*C5</f>
        <v>2652250000</v>
      </c>
      <c r="E5" s="127">
        <f>(1+E6)*D5</f>
        <v>2731817500</v>
      </c>
      <c r="F5" s="127">
        <f>(1+F6)*E5</f>
        <v>2813772025</v>
      </c>
      <c r="G5" s="126">
        <f>(1+G6)*F5</f>
        <v>2898185185.75</v>
      </c>
      <c r="H5" s="125">
        <f>SUM(C5:G5)</f>
        <v>13671024710.75</v>
      </c>
    </row>
    <row r="6" spans="1:12">
      <c r="A6" s="103" t="s">
        <v>131</v>
      </c>
      <c r="B6" s="97"/>
      <c r="C6" s="102">
        <v>0.03</v>
      </c>
      <c r="D6" s="101">
        <f t="shared" ref="D6:G7" si="0">+C6</f>
        <v>0.03</v>
      </c>
      <c r="E6" s="101">
        <f t="shared" si="0"/>
        <v>0.03</v>
      </c>
      <c r="F6" s="101">
        <f t="shared" si="0"/>
        <v>0.03</v>
      </c>
      <c r="G6" s="100">
        <f t="shared" si="0"/>
        <v>0.03</v>
      </c>
      <c r="H6" s="114"/>
    </row>
    <row r="7" spans="1:12" ht="27.75" customHeight="1">
      <c r="A7" s="124" t="s">
        <v>139</v>
      </c>
      <c r="B7" s="123">
        <v>0.41299999999999998</v>
      </c>
      <c r="C7" s="122">
        <v>0.41299999999999998</v>
      </c>
      <c r="D7" s="121">
        <f t="shared" si="0"/>
        <v>0.41299999999999998</v>
      </c>
      <c r="E7" s="121">
        <f t="shared" si="0"/>
        <v>0.41299999999999998</v>
      </c>
      <c r="F7" s="121">
        <f t="shared" si="0"/>
        <v>0.41299999999999998</v>
      </c>
      <c r="G7" s="120">
        <f t="shared" si="0"/>
        <v>0.41299999999999998</v>
      </c>
      <c r="H7" s="119"/>
      <c r="J7" s="104"/>
      <c r="K7" s="104"/>
      <c r="L7" s="104"/>
    </row>
    <row r="8" spans="1:12">
      <c r="B8" s="97"/>
      <c r="C8" s="112"/>
      <c r="G8" s="111"/>
      <c r="H8" s="93"/>
      <c r="J8" s="104" t="s">
        <v>138</v>
      </c>
      <c r="K8" s="104"/>
      <c r="L8" s="104"/>
    </row>
    <row r="9" spans="1:12">
      <c r="A9" s="71" t="s">
        <v>137</v>
      </c>
      <c r="B9" s="118">
        <v>0.97</v>
      </c>
      <c r="C9" s="117">
        <f>+B9</f>
        <v>0.97</v>
      </c>
      <c r="D9" s="116">
        <f>+C9</f>
        <v>0.97</v>
      </c>
      <c r="E9" s="116">
        <f>+D9</f>
        <v>0.97</v>
      </c>
      <c r="F9" s="116">
        <f>+E9</f>
        <v>0.97</v>
      </c>
      <c r="G9" s="115">
        <f>+F9</f>
        <v>0.97</v>
      </c>
      <c r="H9" s="114"/>
      <c r="J9" s="104"/>
      <c r="K9" s="104"/>
      <c r="L9" s="104"/>
    </row>
    <row r="10" spans="1:12">
      <c r="B10" s="97"/>
      <c r="C10" s="112"/>
      <c r="G10" s="111"/>
      <c r="H10" s="93"/>
      <c r="J10" s="104" t="s">
        <v>136</v>
      </c>
      <c r="K10" s="104"/>
      <c r="L10" s="104"/>
    </row>
    <row r="11" spans="1:12" ht="13.5" thickBot="1">
      <c r="B11" s="97"/>
      <c r="C11" s="112"/>
      <c r="G11" s="111"/>
      <c r="H11" s="93"/>
      <c r="J11" s="104"/>
      <c r="K11" s="104"/>
      <c r="L11" s="104"/>
    </row>
    <row r="12" spans="1:12" ht="15.75" thickBot="1">
      <c r="A12" s="92" t="s">
        <v>135</v>
      </c>
      <c r="B12" s="91">
        <f t="shared" ref="B12:G12" si="1">(B5*(B7/100)*B9)</f>
        <v>10015250</v>
      </c>
      <c r="C12" s="90">
        <f t="shared" si="1"/>
        <v>10315707.5</v>
      </c>
      <c r="D12" s="89">
        <f t="shared" si="1"/>
        <v>10625178.725</v>
      </c>
      <c r="E12" s="89">
        <f t="shared" si="1"/>
        <v>10943934.086750001</v>
      </c>
      <c r="F12" s="89">
        <f t="shared" si="1"/>
        <v>11272252.109352499</v>
      </c>
      <c r="G12" s="88">
        <f t="shared" si="1"/>
        <v>11610419.672633076</v>
      </c>
      <c r="H12" s="113">
        <f>SUM(C12:G12)</f>
        <v>54767492.093735576</v>
      </c>
      <c r="J12" s="104" t="s">
        <v>134</v>
      </c>
      <c r="K12" s="104"/>
      <c r="L12" s="104"/>
    </row>
    <row r="13" spans="1:12">
      <c r="B13" s="97"/>
      <c r="C13" s="112"/>
      <c r="G13" s="111"/>
      <c r="H13" s="93"/>
      <c r="J13" s="104"/>
      <c r="K13" s="104"/>
      <c r="L13" s="104"/>
    </row>
    <row r="14" spans="1:12">
      <c r="B14" s="97"/>
      <c r="C14" s="112"/>
      <c r="G14" s="111"/>
      <c r="H14" s="93"/>
      <c r="J14" s="104" t="s">
        <v>133</v>
      </c>
      <c r="K14" s="104"/>
      <c r="L14" s="104"/>
    </row>
    <row r="15" spans="1:12" ht="15.75" thickBot="1">
      <c r="A15" s="110" t="s">
        <v>132</v>
      </c>
      <c r="B15" s="109">
        <v>10000000</v>
      </c>
      <c r="C15" s="108">
        <f>(1+C16)*B15</f>
        <v>10500000</v>
      </c>
      <c r="D15" s="107">
        <f>(1+D16)*C15</f>
        <v>11025000</v>
      </c>
      <c r="E15" s="107">
        <f>(1+E16)*D15</f>
        <v>11576250</v>
      </c>
      <c r="F15" s="107">
        <f>(1+F16)*E15</f>
        <v>12155062.5</v>
      </c>
      <c r="G15" s="106">
        <f>(1+G16)*F15</f>
        <v>12762815.625</v>
      </c>
      <c r="H15" s="105">
        <f>SUM(C15:G15)</f>
        <v>58019128.125</v>
      </c>
      <c r="J15" s="104"/>
      <c r="K15" s="104"/>
      <c r="L15" s="104"/>
    </row>
    <row r="16" spans="1:12">
      <c r="A16" s="103" t="s">
        <v>131</v>
      </c>
      <c r="B16" s="97"/>
      <c r="C16" s="102">
        <v>0.05</v>
      </c>
      <c r="D16" s="101">
        <f>+C16</f>
        <v>0.05</v>
      </c>
      <c r="E16" s="101">
        <f>+D16</f>
        <v>0.05</v>
      </c>
      <c r="F16" s="101">
        <f>+E16</f>
        <v>0.05</v>
      </c>
      <c r="G16" s="100">
        <f>+F16</f>
        <v>0.05</v>
      </c>
      <c r="H16" s="93"/>
      <c r="J16" s="203">
        <f>(0+H15)/(C9*H5)*100</f>
        <v>0.43752048888077189</v>
      </c>
      <c r="K16" s="99"/>
      <c r="L16" s="98"/>
    </row>
    <row r="17" spans="1:12" ht="13.5" thickBot="1">
      <c r="B17" s="97"/>
      <c r="C17" s="96"/>
      <c r="D17" s="95"/>
      <c r="E17" s="95"/>
      <c r="F17" s="95"/>
      <c r="G17" s="94"/>
      <c r="H17" s="93"/>
      <c r="J17" s="286" t="s">
        <v>130</v>
      </c>
      <c r="K17" s="287"/>
      <c r="L17" s="288"/>
    </row>
    <row r="18" spans="1:12" ht="15.75" thickBot="1">
      <c r="A18" s="92" t="s">
        <v>129</v>
      </c>
      <c r="B18" s="91">
        <f t="shared" ref="B18:G18" si="2">+B12-B15</f>
        <v>15250</v>
      </c>
      <c r="C18" s="90">
        <f t="shared" si="2"/>
        <v>-184292.5</v>
      </c>
      <c r="D18" s="89">
        <f t="shared" si="2"/>
        <v>-399821.27500000037</v>
      </c>
      <c r="E18" s="89">
        <f t="shared" si="2"/>
        <v>-632315.91324999928</v>
      </c>
      <c r="F18" s="89">
        <f t="shared" si="2"/>
        <v>-882810.39064750075</v>
      </c>
      <c r="G18" s="88">
        <f t="shared" si="2"/>
        <v>-1152395.9523669239</v>
      </c>
      <c r="H18" s="87">
        <f>SUM(C18:G18)</f>
        <v>-3251636.0312644243</v>
      </c>
      <c r="J18" s="289"/>
      <c r="K18" s="290"/>
      <c r="L18" s="291"/>
    </row>
    <row r="19" spans="1:12" ht="13.5" thickBot="1"/>
    <row r="20" spans="1:12" ht="13.5" thickBot="1">
      <c r="A20" s="86" t="s">
        <v>128</v>
      </c>
      <c r="B20" s="85">
        <f t="shared" ref="B20:H20" si="3">+B18/B12</f>
        <v>1.5226779161778288E-3</v>
      </c>
      <c r="C20" s="84">
        <f t="shared" si="3"/>
        <v>-1.7865231250498329E-2</v>
      </c>
      <c r="D20" s="84">
        <f t="shared" si="3"/>
        <v>-3.7629604672838136E-2</v>
      </c>
      <c r="E20" s="84">
        <f t="shared" si="3"/>
        <v>-5.7777752336388287E-2</v>
      </c>
      <c r="F20" s="84">
        <f t="shared" si="3"/>
        <v>-7.8317126168162957E-2</v>
      </c>
      <c r="G20" s="84">
        <f t="shared" si="3"/>
        <v>-9.9255322792787315E-2</v>
      </c>
      <c r="H20" s="83">
        <f t="shared" si="3"/>
        <v>-5.9371643779108765E-2</v>
      </c>
    </row>
    <row r="22" spans="1:12" ht="30" customHeight="1"/>
    <row r="23" spans="1:12">
      <c r="C23" s="81"/>
    </row>
    <row r="24" spans="1:12">
      <c r="A24" s="74" t="s">
        <v>126</v>
      </c>
      <c r="B24" s="82">
        <v>0</v>
      </c>
      <c r="F24" s="76" t="s">
        <v>127</v>
      </c>
      <c r="G24" s="75">
        <v>0.05</v>
      </c>
    </row>
    <row r="25" spans="1:12">
      <c r="A25" s="74"/>
      <c r="B25" s="82">
        <v>0.01</v>
      </c>
      <c r="F25" s="76"/>
      <c r="G25" s="75">
        <v>0.06</v>
      </c>
    </row>
    <row r="26" spans="1:12">
      <c r="A26" s="74"/>
      <c r="B26" s="82">
        <v>0.02</v>
      </c>
      <c r="F26" s="76"/>
      <c r="G26" s="75">
        <v>7.0000000000000007E-2</v>
      </c>
    </row>
    <row r="27" spans="1:12">
      <c r="A27" s="74"/>
      <c r="B27" s="82">
        <v>0.03</v>
      </c>
      <c r="F27" s="76"/>
      <c r="G27" s="75">
        <v>0.08</v>
      </c>
    </row>
    <row r="28" spans="1:12">
      <c r="A28" s="74"/>
      <c r="B28" s="82">
        <v>0.04</v>
      </c>
      <c r="F28" s="76"/>
      <c r="G28" s="75">
        <v>0.09</v>
      </c>
    </row>
    <row r="29" spans="1:12">
      <c r="A29" s="74"/>
      <c r="B29" s="82">
        <v>0.05</v>
      </c>
      <c r="F29" s="76"/>
      <c r="G29" s="75">
        <v>0.1</v>
      </c>
    </row>
    <row r="30" spans="1:12">
      <c r="A30" s="74"/>
      <c r="B30" s="82">
        <v>0.06</v>
      </c>
    </row>
    <row r="34" spans="1:8">
      <c r="C34" s="76" t="s">
        <v>127</v>
      </c>
    </row>
    <row r="35" spans="1:8">
      <c r="C35" s="75">
        <v>0.05</v>
      </c>
      <c r="D35" s="75">
        <v>0.06</v>
      </c>
      <c r="E35" s="75">
        <v>7.0000000000000007E-2</v>
      </c>
      <c r="F35" s="75">
        <v>0.08</v>
      </c>
      <c r="G35" s="75">
        <v>0.09</v>
      </c>
      <c r="H35" s="75">
        <v>0.1</v>
      </c>
    </row>
    <row r="36" spans="1:8">
      <c r="A36" s="74" t="s">
        <v>126</v>
      </c>
      <c r="B36" s="82">
        <v>0</v>
      </c>
    </row>
    <row r="37" spans="1:8">
      <c r="A37" s="74"/>
      <c r="B37" s="82">
        <v>0.01</v>
      </c>
    </row>
    <row r="38" spans="1:8">
      <c r="A38" s="74"/>
      <c r="B38" s="82">
        <v>0.02</v>
      </c>
    </row>
    <row r="39" spans="1:8">
      <c r="A39" s="74"/>
      <c r="B39" s="82">
        <v>0.03</v>
      </c>
    </row>
    <row r="40" spans="1:8">
      <c r="A40" s="74"/>
      <c r="B40" s="82">
        <v>0.04</v>
      </c>
    </row>
    <row r="41" spans="1:8">
      <c r="A41" s="74"/>
      <c r="B41" s="82">
        <v>0.05</v>
      </c>
    </row>
    <row r="42" spans="1:8">
      <c r="A42" s="74"/>
      <c r="B42" s="82">
        <v>0.06</v>
      </c>
    </row>
    <row r="58" spans="1:3">
      <c r="C58" s="81">
        <f>J16</f>
        <v>0.43752048888077189</v>
      </c>
    </row>
    <row r="59" spans="1:3">
      <c r="A59" s="74" t="s">
        <v>126</v>
      </c>
      <c r="B59" s="73">
        <v>0</v>
      </c>
      <c r="C59" s="72">
        <f t="dataTable" ref="C59:C65" dt2D="0" dtr="0" r1="C6"/>
        <v>0.4785082731958763</v>
      </c>
    </row>
    <row r="60" spans="1:3">
      <c r="A60" s="74"/>
      <c r="B60" s="73">
        <v>0.01</v>
      </c>
      <c r="C60" s="72">
        <v>0.46438943560326901</v>
      </c>
    </row>
    <row r="61" spans="1:3">
      <c r="A61" s="74"/>
      <c r="B61" s="73">
        <v>0.02</v>
      </c>
      <c r="C61" s="72">
        <v>0.45073226148505824</v>
      </c>
    </row>
    <row r="62" spans="1:3">
      <c r="A62" s="74"/>
      <c r="B62" s="73">
        <v>0.03</v>
      </c>
      <c r="C62" s="72">
        <v>0.43752048888077189</v>
      </c>
    </row>
    <row r="63" spans="1:3">
      <c r="A63" s="74"/>
      <c r="B63" s="73">
        <v>0.04</v>
      </c>
      <c r="C63" s="72">
        <v>0.42473846760909001</v>
      </c>
    </row>
    <row r="64" spans="1:3">
      <c r="A64" s="74"/>
      <c r="B64" s="73">
        <v>0.05</v>
      </c>
      <c r="C64" s="72">
        <v>0.41237113402061859</v>
      </c>
    </row>
    <row r="65" spans="1:8">
      <c r="A65" s="74"/>
      <c r="B65" s="73">
        <v>0.06</v>
      </c>
      <c r="C65" s="72">
        <v>0.40040398698817337</v>
      </c>
    </row>
    <row r="78" spans="1:8">
      <c r="C78" s="76" t="s">
        <v>127</v>
      </c>
      <c r="D78" s="76"/>
      <c r="E78" s="76"/>
      <c r="F78" s="76"/>
      <c r="G78" s="76"/>
      <c r="H78" s="76"/>
    </row>
    <row r="79" spans="1:8">
      <c r="B79" s="80">
        <f>+J16</f>
        <v>0.43752048888077189</v>
      </c>
      <c r="C79" s="75">
        <v>0.05</v>
      </c>
      <c r="D79" s="75">
        <v>0.06</v>
      </c>
      <c r="E79" s="75">
        <v>7.0000000000000007E-2</v>
      </c>
      <c r="F79" s="75">
        <v>0.08</v>
      </c>
      <c r="G79" s="75">
        <v>0.09</v>
      </c>
      <c r="H79" s="75">
        <v>0.1</v>
      </c>
    </row>
    <row r="80" spans="1:8">
      <c r="A80" s="74" t="s">
        <v>126</v>
      </c>
      <c r="B80" s="73">
        <v>0</v>
      </c>
      <c r="C80" s="77">
        <f t="dataTable" ref="C80:H86" dt2D="1" dtr="0" r1="C16" r2="C6" ca="1"/>
        <v>0.4785082731958763</v>
      </c>
      <c r="D80" s="77">
        <v>0.49280977629690725</v>
      </c>
      <c r="E80" s="78">
        <v>0.50748789614020628</v>
      </c>
      <c r="F80" s="79">
        <v>0.52255084839587629</v>
      </c>
      <c r="G80" s="78">
        <v>0.53800697442474232</v>
      </c>
      <c r="H80" s="77">
        <v>0.55386474226804139</v>
      </c>
    </row>
    <row r="81" spans="1:8">
      <c r="A81" s="74"/>
      <c r="B81" s="73">
        <v>0.01</v>
      </c>
      <c r="C81" s="77">
        <v>0.46438943560326901</v>
      </c>
      <c r="D81" s="77">
        <v>0.47826895937619973</v>
      </c>
      <c r="E81" s="78">
        <v>0.49251398745945818</v>
      </c>
      <c r="F81" s="79">
        <v>0.50713249311205788</v>
      </c>
      <c r="G81" s="78">
        <v>0.52213257157511062</v>
      </c>
      <c r="H81" s="77">
        <v>0.53752244103231617</v>
      </c>
    </row>
    <row r="82" spans="1:8">
      <c r="A82" s="74"/>
      <c r="B82" s="73">
        <v>0.02</v>
      </c>
      <c r="C82" s="77">
        <v>0.45073226148505824</v>
      </c>
      <c r="D82" s="77">
        <v>0.46420360398099986</v>
      </c>
      <c r="E82" s="78">
        <v>0.47802970171413278</v>
      </c>
      <c r="F82" s="79">
        <v>0.49221829345883683</v>
      </c>
      <c r="G82" s="78">
        <v>0.50677723638423344</v>
      </c>
      <c r="H82" s="77">
        <v>0.52171450698642718</v>
      </c>
    </row>
    <row r="83" spans="1:8">
      <c r="A83" s="74"/>
      <c r="B83" s="73">
        <v>0.03</v>
      </c>
      <c r="C83" s="77">
        <v>0.43752048888077189</v>
      </c>
      <c r="D83" s="77">
        <v>0.45059696211853256</v>
      </c>
      <c r="E83" s="78">
        <v>0.46401779207994459</v>
      </c>
      <c r="F83" s="79">
        <v>0.47779049070200325</v>
      </c>
      <c r="G83" s="78">
        <v>0.49192268484608254</v>
      </c>
      <c r="H83" s="77">
        <v>0.50642211720285157</v>
      </c>
    </row>
    <row r="84" spans="1:8">
      <c r="A84" s="74"/>
      <c r="B84" s="73">
        <v>0.04</v>
      </c>
      <c r="C84" s="77">
        <v>0.42473846760909001</v>
      </c>
      <c r="D84" s="77">
        <v>0.43743291585983529</v>
      </c>
      <c r="E84" s="78">
        <v>0.45046166056259074</v>
      </c>
      <c r="F84" s="79">
        <v>0.46383199419551258</v>
      </c>
      <c r="G84" s="78">
        <v>0.4775513208036572</v>
      </c>
      <c r="H84" s="77">
        <v>0.49162715687745984</v>
      </c>
    </row>
    <row r="85" spans="1:8">
      <c r="A85" s="74"/>
      <c r="B85" s="73">
        <v>0.05</v>
      </c>
      <c r="C85" s="77">
        <v>0.41237113402061859</v>
      </c>
      <c r="D85" s="77">
        <v>0.42469595133795129</v>
      </c>
      <c r="E85" s="78">
        <v>0.43734533122149211</v>
      </c>
      <c r="F85" s="79">
        <v>0.45032635381047131</v>
      </c>
      <c r="G85" s="78">
        <v>0.46364620756246699</v>
      </c>
      <c r="H85" s="77">
        <v>0.47731219010630505</v>
      </c>
    </row>
    <row r="86" spans="1:8">
      <c r="A86" s="74"/>
      <c r="B86" s="73">
        <v>0.06</v>
      </c>
      <c r="C86" s="77">
        <v>0.40040398698817337</v>
      </c>
      <c r="D86" s="77">
        <v>0.41237113402061859</v>
      </c>
      <c r="E86" s="77">
        <v>0.42465342470599055</v>
      </c>
      <c r="F86" s="77">
        <v>0.43725773371553173</v>
      </c>
      <c r="G86" s="77">
        <v>0.45019104089539808</v>
      </c>
      <c r="H86" s="77">
        <v>0.46346043209480708</v>
      </c>
    </row>
    <row r="88" spans="1:8" ht="15">
      <c r="A88"/>
      <c r="B88"/>
      <c r="C88"/>
      <c r="D88"/>
      <c r="E88"/>
      <c r="F88"/>
      <c r="G88"/>
      <c r="H88"/>
    </row>
    <row r="89" spans="1:8" ht="15">
      <c r="A89"/>
      <c r="B89"/>
      <c r="C89"/>
      <c r="D89"/>
      <c r="E89"/>
      <c r="F89"/>
      <c r="G89"/>
      <c r="H89"/>
    </row>
  </sheetData>
  <mergeCells count="1">
    <mergeCell ref="J17:L1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P105"/>
  <sheetViews>
    <sheetView topLeftCell="K1" zoomScale="85" zoomScaleNormal="85" workbookViewId="0">
      <selection activeCell="AC4" sqref="AC4"/>
    </sheetView>
  </sheetViews>
  <sheetFormatPr defaultRowHeight="15"/>
  <cols>
    <col min="1" max="1" width="11.28515625" customWidth="1"/>
    <col min="2" max="2" width="15.28515625" bestFit="1" customWidth="1"/>
    <col min="14" max="14" width="18.85546875" bestFit="1" customWidth="1"/>
    <col min="27" max="27" width="15.28515625" bestFit="1" customWidth="1"/>
    <col min="29" max="29" width="12.5703125" customWidth="1"/>
    <col min="30" max="34" width="11.28515625" customWidth="1"/>
    <col min="36" max="36" width="11.28515625" customWidth="1"/>
    <col min="37" max="37" width="28.5703125" bestFit="1" customWidth="1"/>
    <col min="39" max="39" width="17.28515625" customWidth="1"/>
    <col min="40" max="42" width="10.85546875" customWidth="1"/>
  </cols>
  <sheetData>
    <row r="1" spans="1:42">
      <c r="A1" s="277" t="s">
        <v>249</v>
      </c>
      <c r="B1" s="277"/>
      <c r="N1" s="253" t="s">
        <v>250</v>
      </c>
      <c r="O1" s="254" t="str">
        <f>"I-MR Chart for "&amp;B5</f>
        <v>I-MR Chart for Waiting in Line</v>
      </c>
      <c r="P1" s="254"/>
      <c r="Q1" s="254"/>
      <c r="S1" t="s">
        <v>251</v>
      </c>
      <c r="T1" s="1">
        <f>$I$6</f>
        <v>6.335536231884058</v>
      </c>
    </row>
    <row r="2" spans="1:42" ht="21">
      <c r="A2" s="277"/>
      <c r="B2" s="277"/>
      <c r="D2" s="212" t="str">
        <f>"Process Behaviour Charts for "&amp;B5</f>
        <v>Process Behaviour Charts for Waiting in Line</v>
      </c>
      <c r="N2" s="253" t="s">
        <v>252</v>
      </c>
      <c r="O2" s="254" t="str">
        <f>"Range Chart for "&amp;B5</f>
        <v>Range Chart for Waiting in Line</v>
      </c>
      <c r="P2" s="254"/>
      <c r="Q2" s="254"/>
      <c r="S2" t="s">
        <v>253</v>
      </c>
      <c r="T2" s="1">
        <f>$H$6</f>
        <v>-2.2028985507254184E-3</v>
      </c>
    </row>
    <row r="3" spans="1:42">
      <c r="A3" s="277"/>
      <c r="B3" s="277"/>
      <c r="D3" s="26" t="str">
        <f>"Average of "&amp;TEXT(T3,"0.00")&amp;", and natural process range of "&amp;TEXT(T2,"0.00")&amp;" to "&amp;TEXT(T1,"0.00")</f>
        <v>Average of 3.17, and natural process range of 0.00 to 6.34</v>
      </c>
      <c r="N3" s="252" t="s">
        <v>254</v>
      </c>
      <c r="O3" s="252"/>
      <c r="P3" s="252"/>
      <c r="Q3" s="252"/>
      <c r="S3" t="s">
        <v>255</v>
      </c>
      <c r="T3" s="1">
        <f>$G$6</f>
        <v>3.1666666666666661</v>
      </c>
      <c r="Z3" t="s">
        <v>256</v>
      </c>
      <c r="AC3" t="s">
        <v>380</v>
      </c>
      <c r="AJ3" t="s">
        <v>257</v>
      </c>
      <c r="AM3" t="s">
        <v>364</v>
      </c>
      <c r="AN3" t="s">
        <v>365</v>
      </c>
    </row>
    <row r="4" spans="1:42">
      <c r="D4" s="26" t="s">
        <v>258</v>
      </c>
      <c r="N4" s="62" t="s">
        <v>259</v>
      </c>
      <c r="O4" s="62" t="s">
        <v>260</v>
      </c>
      <c r="P4" s="62" t="s">
        <v>261</v>
      </c>
      <c r="Q4" s="62" t="s">
        <v>262</v>
      </c>
      <c r="R4" t="s">
        <v>263</v>
      </c>
    </row>
    <row r="5" spans="1:42">
      <c r="A5" s="213" t="s">
        <v>264</v>
      </c>
      <c r="B5" s="213" t="s">
        <v>265</v>
      </c>
      <c r="D5" t="s">
        <v>83</v>
      </c>
      <c r="E5" t="s">
        <v>266</v>
      </c>
      <c r="F5" t="s">
        <v>267</v>
      </c>
      <c r="G5" t="s">
        <v>255</v>
      </c>
      <c r="H5" t="s">
        <v>253</v>
      </c>
      <c r="I5" t="s">
        <v>251</v>
      </c>
      <c r="J5" t="s">
        <v>268</v>
      </c>
      <c r="K5" t="s">
        <v>269</v>
      </c>
      <c r="L5" t="s">
        <v>270</v>
      </c>
      <c r="Z5" s="213" t="s">
        <v>264</v>
      </c>
      <c r="AA5" s="213" t="s">
        <v>265</v>
      </c>
      <c r="AC5" s="267" t="s">
        <v>271</v>
      </c>
      <c r="AD5" s="267" t="s">
        <v>375</v>
      </c>
      <c r="AE5" s="267" t="s">
        <v>376</v>
      </c>
      <c r="AF5" s="267" t="s">
        <v>377</v>
      </c>
      <c r="AG5" s="267" t="s">
        <v>378</v>
      </c>
      <c r="AH5" s="267" t="s">
        <v>379</v>
      </c>
      <c r="AJ5" s="214" t="s">
        <v>271</v>
      </c>
      <c r="AK5" s="214" t="s">
        <v>272</v>
      </c>
      <c r="AM5" s="249" t="s">
        <v>271</v>
      </c>
      <c r="AN5" s="249" t="s">
        <v>366</v>
      </c>
      <c r="AO5" s="249" t="s">
        <v>367</v>
      </c>
      <c r="AP5" s="249" t="s">
        <v>368</v>
      </c>
    </row>
    <row r="6" spans="1:42">
      <c r="A6" s="215">
        <v>1</v>
      </c>
      <c r="B6" s="215">
        <v>3.5</v>
      </c>
      <c r="G6">
        <f>AVERAGE($B$6:$B$105)</f>
        <v>3.1666666666666661</v>
      </c>
      <c r="H6">
        <f>G6-2.66*$E$7</f>
        <v>-2.2028985507254184E-3</v>
      </c>
      <c r="I6">
        <f>G6+2.66*$E$7</f>
        <v>6.335536231884058</v>
      </c>
      <c r="J6">
        <f>IF(B6="","",((B6-G6)/($E$7/1.128)))</f>
        <v>0.31562043795620487</v>
      </c>
      <c r="K6" s="216">
        <f>IF(B6="","",((B6-G6)/($E$7/1.128)))</f>
        <v>0.31562043795620487</v>
      </c>
      <c r="L6" s="216">
        <f>IF(B6="","",SIGN(J6))</f>
        <v>1</v>
      </c>
      <c r="M6" s="216">
        <f>IF(L6=L5,1+M5,1)</f>
        <v>1</v>
      </c>
      <c r="N6" s="255" t="str">
        <f>IF(B6="","",IF(ABS(J6)&gt;3,B6,""))</f>
        <v/>
      </c>
      <c r="O6" s="255" t="str">
        <f>IF(B6="","",IF(AND(ABS(J6)&gt;2,OR(COUNTIF(J4:J8,"&lt;-2")&gt;=2,COUNTIF(J4:J8,"&gt;2")&gt;=2)),B6,""))</f>
        <v/>
      </c>
      <c r="P6" s="255" t="str">
        <f>IF(B6="","",IF(AND(ABS(J6)&gt;1,OR(COUNTIF(K2:K10,"&lt;-1")&gt;=4,COUNTIF(K2:K10,"&gt;1")&gt;=4)),B6,""))</f>
        <v/>
      </c>
      <c r="Q6" s="255" t="str">
        <f>IF(B6="","",IF(MAX(M6:M13)&gt;=8,B6,""))</f>
        <v/>
      </c>
      <c r="R6" s="255" t="e">
        <f t="shared" ref="R6:R37" si="0">IF(COUNT(N6:Q6)&gt;0,B6,NA())</f>
        <v>#N/A</v>
      </c>
      <c r="Z6" s="215">
        <v>1</v>
      </c>
      <c r="AA6" s="215">
        <v>3.5</v>
      </c>
      <c r="AC6" s="265">
        <v>44562</v>
      </c>
      <c r="AD6" s="266">
        <v>24.954065198142356</v>
      </c>
      <c r="AE6" s="266">
        <v>7.6997246220647773</v>
      </c>
      <c r="AF6" s="266">
        <v>18.635080451982354</v>
      </c>
      <c r="AG6" s="266">
        <v>20.985847811161577</v>
      </c>
      <c r="AH6" s="266">
        <v>15.79903325202555</v>
      </c>
      <c r="AJ6" s="217">
        <v>41456</v>
      </c>
      <c r="AK6" s="218">
        <v>35.167921169974818</v>
      </c>
      <c r="AM6" s="250">
        <v>42186</v>
      </c>
      <c r="AN6" s="251">
        <v>1.4814814814814814E-3</v>
      </c>
      <c r="AO6" s="251">
        <v>1.4467592592592594E-3</v>
      </c>
      <c r="AP6" s="251">
        <v>1.4930555555555556E-3</v>
      </c>
    </row>
    <row r="7" spans="1:42">
      <c r="A7" s="215">
        <v>2</v>
      </c>
      <c r="B7" s="215">
        <v>2.4</v>
      </c>
      <c r="D7">
        <f>IF(OR(B7="",B6=""),"",ABS(B7-B6))</f>
        <v>1.1000000000000001</v>
      </c>
      <c r="E7">
        <f>IF(D7="","",AVERAGE($D$7:$D$105))</f>
        <v>1.191304347826087</v>
      </c>
      <c r="F7">
        <f>IF(E7="","",3.267*E7)</f>
        <v>3.891991304347826</v>
      </c>
      <c r="G7">
        <f t="shared" ref="G7:G70" si="1">AVERAGE($B$6:$B$105)</f>
        <v>3.1666666666666661</v>
      </c>
      <c r="H7">
        <f t="shared" ref="H7:H70" si="2">G7-2.66*$E$7</f>
        <v>-2.2028985507254184E-3</v>
      </c>
      <c r="I7">
        <f t="shared" ref="I7:I70" si="3">G7+2.66*$E$7</f>
        <v>6.335536231884058</v>
      </c>
      <c r="J7">
        <f t="shared" ref="J7:J70" si="4">IF(B7="","",((B7-G7)/($E$7/1.128)))</f>
        <v>-0.7259270072992694</v>
      </c>
      <c r="K7" s="216">
        <f t="shared" ref="K7:K70" si="5">IF(B7="","",((B7-G7)/($E$7/1.128)))</f>
        <v>-0.7259270072992694</v>
      </c>
      <c r="L7" s="216">
        <f t="shared" ref="L7:L70" si="6">IF(B7="","",SIGN(J7))</f>
        <v>-1</v>
      </c>
      <c r="M7" s="216">
        <f t="shared" ref="M7:M70" si="7">IF(L7=L6,1+M6,1)</f>
        <v>1</v>
      </c>
      <c r="N7" s="255" t="str">
        <f t="shared" ref="N7:N70" si="8">IF(B7="","",IF(ABS(J7)&gt;3,B7,""))</f>
        <v/>
      </c>
      <c r="O7" s="255" t="str">
        <f t="shared" ref="O7:O70" si="9">IF(B7="","",IF(AND(ABS(J7)&gt;2,OR(COUNTIF(J5:J9,"&lt;-2")&gt;=2,COUNTIF(J5:J9,"&gt;2")&gt;=2)),B7,""))</f>
        <v/>
      </c>
      <c r="P7" s="255" t="str">
        <f t="shared" ref="P7:P70" si="10">IF(B7="","",IF(AND(ABS(J7)&gt;1,OR(COUNTIF(K3:K11,"&lt;-1")&gt;=4,COUNTIF(K3:K11,"&gt;1")&gt;=4)),B7,""))</f>
        <v/>
      </c>
      <c r="Q7" s="255" t="str">
        <f t="shared" ref="Q7:Q70" si="11">IF(B7="","",IF(MAX(M7:M14)&gt;=8,B7,""))</f>
        <v/>
      </c>
      <c r="R7" s="255" t="e">
        <f t="shared" si="0"/>
        <v>#N/A</v>
      </c>
      <c r="T7">
        <v>2</v>
      </c>
      <c r="Z7" s="215">
        <v>2</v>
      </c>
      <c r="AA7" s="215">
        <v>2.4</v>
      </c>
      <c r="AC7" s="265">
        <v>44593</v>
      </c>
      <c r="AD7" s="266">
        <v>44.054276548909023</v>
      </c>
      <c r="AE7" s="266">
        <v>8.9298865680988548</v>
      </c>
      <c r="AF7" s="266">
        <v>15.280063240152323</v>
      </c>
      <c r="AG7" s="266">
        <v>21.404333467183172</v>
      </c>
      <c r="AH7" s="266">
        <v>15.192384407130366</v>
      </c>
      <c r="AJ7" s="217">
        <v>41487</v>
      </c>
      <c r="AK7" s="218">
        <v>40.761509826458216</v>
      </c>
      <c r="AM7" s="250">
        <v>42217</v>
      </c>
      <c r="AN7" s="251">
        <v>1.3888888888888889E-3</v>
      </c>
      <c r="AO7" s="251">
        <v>1.3888888888888889E-3</v>
      </c>
      <c r="AP7" s="251">
        <v>1.423611111111111E-3</v>
      </c>
    </row>
    <row r="8" spans="1:42">
      <c r="A8" s="215">
        <v>3</v>
      </c>
      <c r="B8" s="215">
        <v>4.0999999999999996</v>
      </c>
      <c r="D8">
        <f t="shared" ref="D8:D71" si="12">IF(OR(B8="",B7=""),"",ABS(B8-B7))</f>
        <v>1.6999999999999997</v>
      </c>
      <c r="E8">
        <f t="shared" ref="E8:E71" si="13">IF(D8="","",AVERAGE($D$7:$D$105))</f>
        <v>1.191304347826087</v>
      </c>
      <c r="F8">
        <f t="shared" ref="F8:F71" si="14">IF(E8="","",3.267*E8)</f>
        <v>3.891991304347826</v>
      </c>
      <c r="G8">
        <f t="shared" si="1"/>
        <v>3.1666666666666661</v>
      </c>
      <c r="H8">
        <f t="shared" si="2"/>
        <v>-2.2028985507254184E-3</v>
      </c>
      <c r="I8">
        <f t="shared" si="3"/>
        <v>6.335536231884058</v>
      </c>
      <c r="J8">
        <f t="shared" si="4"/>
        <v>0.88373722627737228</v>
      </c>
      <c r="K8" s="216">
        <f t="shared" si="5"/>
        <v>0.88373722627737228</v>
      </c>
      <c r="L8" s="216">
        <f t="shared" si="6"/>
        <v>1</v>
      </c>
      <c r="M8" s="216">
        <f t="shared" si="7"/>
        <v>1</v>
      </c>
      <c r="N8" s="255" t="str">
        <f t="shared" si="8"/>
        <v/>
      </c>
      <c r="O8" s="255" t="str">
        <f t="shared" si="9"/>
        <v/>
      </c>
      <c r="P8" s="255" t="str">
        <f t="shared" si="10"/>
        <v/>
      </c>
      <c r="Q8" s="255" t="str">
        <f t="shared" si="11"/>
        <v/>
      </c>
      <c r="R8" s="255" t="e">
        <f t="shared" si="0"/>
        <v>#N/A</v>
      </c>
      <c r="Z8" s="215">
        <v>3</v>
      </c>
      <c r="AA8" s="215">
        <v>4.0999999999999996</v>
      </c>
      <c r="AC8" s="265">
        <v>44621</v>
      </c>
      <c r="AD8" s="266">
        <v>51.84356931700809</v>
      </c>
      <c r="AE8" s="266">
        <v>10.474080249899862</v>
      </c>
      <c r="AF8" s="266">
        <v>10.960224982669621</v>
      </c>
      <c r="AG8" s="266">
        <v>20.219422055384356</v>
      </c>
      <c r="AH8" s="266">
        <v>16.44927296963667</v>
      </c>
      <c r="AJ8" s="217">
        <v>41518</v>
      </c>
      <c r="AK8" s="218">
        <v>35.63535180746365</v>
      </c>
      <c r="AM8" s="250">
        <v>42248</v>
      </c>
      <c r="AN8" s="251">
        <v>1.3078703703703705E-3</v>
      </c>
      <c r="AO8" s="251">
        <v>1.2962962962962963E-3</v>
      </c>
      <c r="AP8" s="251">
        <v>1.5046296296296294E-3</v>
      </c>
    </row>
    <row r="9" spans="1:42">
      <c r="A9" s="215">
        <v>4</v>
      </c>
      <c r="B9" s="215">
        <v>2.8</v>
      </c>
      <c r="D9">
        <f t="shared" si="12"/>
        <v>1.2999999999999998</v>
      </c>
      <c r="E9">
        <f t="shared" si="13"/>
        <v>1.191304347826087</v>
      </c>
      <c r="F9">
        <f t="shared" si="14"/>
        <v>3.891991304347826</v>
      </c>
      <c r="G9">
        <f t="shared" si="1"/>
        <v>3.1666666666666661</v>
      </c>
      <c r="H9">
        <f t="shared" si="2"/>
        <v>-2.2028985507254184E-3</v>
      </c>
      <c r="I9">
        <f t="shared" si="3"/>
        <v>6.335536231884058</v>
      </c>
      <c r="J9">
        <f t="shared" si="4"/>
        <v>-0.34718248175182437</v>
      </c>
      <c r="K9" s="216">
        <f t="shared" si="5"/>
        <v>-0.34718248175182437</v>
      </c>
      <c r="L9" s="216">
        <f t="shared" si="6"/>
        <v>-1</v>
      </c>
      <c r="M9" s="216">
        <f t="shared" si="7"/>
        <v>1</v>
      </c>
      <c r="N9" s="255" t="str">
        <f t="shared" si="8"/>
        <v/>
      </c>
      <c r="O9" s="255" t="str">
        <f t="shared" si="9"/>
        <v/>
      </c>
      <c r="P9" s="255" t="str">
        <f t="shared" si="10"/>
        <v/>
      </c>
      <c r="Q9" s="255" t="str">
        <f t="shared" si="11"/>
        <v/>
      </c>
      <c r="R9" s="255" t="e">
        <f t="shared" si="0"/>
        <v>#N/A</v>
      </c>
      <c r="Z9" s="215">
        <v>4</v>
      </c>
      <c r="AA9" s="215">
        <v>2.8</v>
      </c>
      <c r="AC9" s="265">
        <v>44652</v>
      </c>
      <c r="AD9" s="266">
        <v>41.068035932794942</v>
      </c>
      <c r="AE9" s="266">
        <v>10.286362403394445</v>
      </c>
      <c r="AF9" s="266">
        <v>15.24935932452297</v>
      </c>
      <c r="AG9" s="266">
        <v>16.366502400852475</v>
      </c>
      <c r="AH9" s="266">
        <v>17.801550403589886</v>
      </c>
      <c r="AJ9" s="217">
        <v>41548</v>
      </c>
      <c r="AK9" s="218">
        <v>31.33745327062018</v>
      </c>
      <c r="AM9" s="250">
        <v>42278</v>
      </c>
      <c r="AN9" s="251">
        <v>1.5740740740740741E-3</v>
      </c>
      <c r="AO9" s="251">
        <v>1.4814814814814814E-3</v>
      </c>
      <c r="AP9" s="251">
        <v>1.5046296296296294E-3</v>
      </c>
    </row>
    <row r="10" spans="1:42">
      <c r="A10" s="215">
        <v>5</v>
      </c>
      <c r="B10" s="215">
        <v>3</v>
      </c>
      <c r="D10">
        <f t="shared" si="12"/>
        <v>0.20000000000000018</v>
      </c>
      <c r="E10">
        <f t="shared" si="13"/>
        <v>1.191304347826087</v>
      </c>
      <c r="F10">
        <f t="shared" si="14"/>
        <v>3.891991304347826</v>
      </c>
      <c r="G10">
        <f t="shared" si="1"/>
        <v>3.1666666666666661</v>
      </c>
      <c r="H10">
        <f t="shared" si="2"/>
        <v>-2.2028985507254184E-3</v>
      </c>
      <c r="I10">
        <f t="shared" si="3"/>
        <v>6.335536231884058</v>
      </c>
      <c r="J10">
        <f t="shared" si="4"/>
        <v>-0.1578102189781016</v>
      </c>
      <c r="K10" s="216">
        <f t="shared" si="5"/>
        <v>-0.1578102189781016</v>
      </c>
      <c r="L10" s="216">
        <f t="shared" si="6"/>
        <v>-1</v>
      </c>
      <c r="M10" s="216">
        <f t="shared" si="7"/>
        <v>2</v>
      </c>
      <c r="N10" s="255" t="str">
        <f t="shared" si="8"/>
        <v/>
      </c>
      <c r="O10" s="255" t="str">
        <f t="shared" si="9"/>
        <v/>
      </c>
      <c r="P10" s="255" t="str">
        <f t="shared" si="10"/>
        <v/>
      </c>
      <c r="Q10" s="255" t="str">
        <f t="shared" si="11"/>
        <v/>
      </c>
      <c r="R10" s="255" t="e">
        <f t="shared" si="0"/>
        <v>#N/A</v>
      </c>
      <c r="Z10" s="215">
        <v>5</v>
      </c>
      <c r="AA10" s="215">
        <v>3</v>
      </c>
      <c r="AC10" s="265">
        <v>44682</v>
      </c>
      <c r="AD10" s="266">
        <v>40.152396717908651</v>
      </c>
      <c r="AE10" s="266">
        <v>11.493429433146972</v>
      </c>
      <c r="AF10" s="266">
        <v>23.086249130064154</v>
      </c>
      <c r="AG10" s="266">
        <v>31.004676048090264</v>
      </c>
      <c r="AH10" s="266">
        <v>19.768382054414126</v>
      </c>
      <c r="AJ10" s="217">
        <v>41579</v>
      </c>
      <c r="AK10" s="218">
        <v>28.493604730458255</v>
      </c>
      <c r="AM10" s="250">
        <v>42309</v>
      </c>
      <c r="AN10" s="251">
        <v>1.4120370370370369E-3</v>
      </c>
      <c r="AO10" s="251">
        <v>1.3657407407407409E-3</v>
      </c>
      <c r="AP10" s="251">
        <v>1.4930555555555556E-3</v>
      </c>
    </row>
    <row r="11" spans="1:42">
      <c r="A11" s="215">
        <v>6</v>
      </c>
      <c r="B11" s="215">
        <v>4.7</v>
      </c>
      <c r="D11">
        <f t="shared" si="12"/>
        <v>1.7000000000000002</v>
      </c>
      <c r="E11">
        <f t="shared" si="13"/>
        <v>1.191304347826087</v>
      </c>
      <c r="F11">
        <f t="shared" si="14"/>
        <v>3.891991304347826</v>
      </c>
      <c r="G11">
        <f t="shared" si="1"/>
        <v>3.1666666666666661</v>
      </c>
      <c r="H11">
        <f t="shared" si="2"/>
        <v>-2.2028985507254184E-3</v>
      </c>
      <c r="I11">
        <f t="shared" si="3"/>
        <v>6.335536231884058</v>
      </c>
      <c r="J11">
        <f t="shared" si="4"/>
        <v>1.4518540145985406</v>
      </c>
      <c r="K11" s="216">
        <f t="shared" si="5"/>
        <v>1.4518540145985406</v>
      </c>
      <c r="L11" s="216">
        <f t="shared" si="6"/>
        <v>1</v>
      </c>
      <c r="M11" s="216">
        <f t="shared" si="7"/>
        <v>1</v>
      </c>
      <c r="N11" s="255" t="str">
        <f t="shared" si="8"/>
        <v/>
      </c>
      <c r="O11" s="255" t="str">
        <f t="shared" si="9"/>
        <v/>
      </c>
      <c r="P11" s="255" t="str">
        <f t="shared" si="10"/>
        <v/>
      </c>
      <c r="Q11" s="255" t="str">
        <f t="shared" si="11"/>
        <v/>
      </c>
      <c r="R11" s="255" t="e">
        <f t="shared" si="0"/>
        <v>#N/A</v>
      </c>
      <c r="Z11" s="215">
        <v>6</v>
      </c>
      <c r="AA11" s="215">
        <v>4.7</v>
      </c>
      <c r="AC11" s="265">
        <v>44713</v>
      </c>
      <c r="AD11" s="266">
        <v>40.876958680472377</v>
      </c>
      <c r="AE11" s="266">
        <v>21.278208320933906</v>
      </c>
      <c r="AF11" s="266">
        <v>23.961321758685866</v>
      </c>
      <c r="AG11" s="266">
        <v>35.142266298651279</v>
      </c>
      <c r="AH11" s="266">
        <v>22.987787034588873</v>
      </c>
      <c r="AJ11" s="217">
        <v>41609</v>
      </c>
      <c r="AK11" s="218">
        <v>42.556451112798207</v>
      </c>
      <c r="AM11" s="250">
        <v>42339</v>
      </c>
      <c r="AN11" s="251">
        <v>1.3194444444444443E-3</v>
      </c>
      <c r="AO11" s="251">
        <v>1.4351851851851854E-3</v>
      </c>
      <c r="AP11" s="251">
        <v>1.5624999999999999E-3</v>
      </c>
    </row>
    <row r="12" spans="1:42">
      <c r="A12" s="215">
        <v>7</v>
      </c>
      <c r="B12" s="215">
        <v>1.2</v>
      </c>
      <c r="D12">
        <f t="shared" si="12"/>
        <v>3.5</v>
      </c>
      <c r="E12">
        <f t="shared" si="13"/>
        <v>1.191304347826087</v>
      </c>
      <c r="F12">
        <f t="shared" si="14"/>
        <v>3.891991304347826</v>
      </c>
      <c r="G12">
        <f t="shared" si="1"/>
        <v>3.1666666666666661</v>
      </c>
      <c r="H12">
        <f t="shared" si="2"/>
        <v>-2.2028985507254184E-3</v>
      </c>
      <c r="I12">
        <f t="shared" si="3"/>
        <v>6.335536231884058</v>
      </c>
      <c r="J12">
        <f t="shared" si="4"/>
        <v>-1.8621605839416049</v>
      </c>
      <c r="K12" s="216">
        <f t="shared" si="5"/>
        <v>-1.8621605839416049</v>
      </c>
      <c r="L12" s="216">
        <f t="shared" si="6"/>
        <v>-1</v>
      </c>
      <c r="M12" s="216">
        <f t="shared" si="7"/>
        <v>1</v>
      </c>
      <c r="N12" s="255" t="str">
        <f t="shared" si="8"/>
        <v/>
      </c>
      <c r="O12" s="255" t="str">
        <f t="shared" si="9"/>
        <v/>
      </c>
      <c r="P12" s="255" t="str">
        <f t="shared" si="10"/>
        <v/>
      </c>
      <c r="Q12" s="255" t="str">
        <f t="shared" si="11"/>
        <v/>
      </c>
      <c r="R12" s="255" t="e">
        <f t="shared" si="0"/>
        <v>#N/A</v>
      </c>
      <c r="Z12" s="215">
        <v>7</v>
      </c>
      <c r="AA12" s="215">
        <v>1.2</v>
      </c>
      <c r="AC12" s="265">
        <v>44743</v>
      </c>
      <c r="AD12" s="266">
        <v>31.475261930817862</v>
      </c>
      <c r="AE12" s="266">
        <v>19.940738869743463</v>
      </c>
      <c r="AF12" s="266">
        <v>30.380466201010265</v>
      </c>
      <c r="AG12" s="266">
        <v>41.69407949386845</v>
      </c>
      <c r="AH12" s="266">
        <v>27.35951189348522</v>
      </c>
      <c r="AJ12" s="217">
        <v>41640</v>
      </c>
      <c r="AK12" s="218">
        <v>28.217422033942661</v>
      </c>
      <c r="AM12" s="250">
        <v>42370</v>
      </c>
      <c r="AN12" s="251">
        <v>1.4004629629629629E-3</v>
      </c>
      <c r="AO12" s="251">
        <v>1.3541666666666667E-3</v>
      </c>
      <c r="AP12" s="251">
        <v>1.5740740740740741E-3</v>
      </c>
    </row>
    <row r="13" spans="1:42">
      <c r="A13" s="215">
        <v>8</v>
      </c>
      <c r="B13" s="215">
        <v>0.9</v>
      </c>
      <c r="D13">
        <f t="shared" si="12"/>
        <v>0.29999999999999993</v>
      </c>
      <c r="E13">
        <f t="shared" si="13"/>
        <v>1.191304347826087</v>
      </c>
      <c r="F13">
        <f t="shared" si="14"/>
        <v>3.891991304347826</v>
      </c>
      <c r="G13">
        <f t="shared" si="1"/>
        <v>3.1666666666666661</v>
      </c>
      <c r="H13">
        <f t="shared" si="2"/>
        <v>-2.2028985507254184E-3</v>
      </c>
      <c r="I13">
        <f t="shared" si="3"/>
        <v>6.335536231884058</v>
      </c>
      <c r="J13">
        <f t="shared" si="4"/>
        <v>-2.1462189781021888</v>
      </c>
      <c r="K13" s="216">
        <f t="shared" si="5"/>
        <v>-2.1462189781021888</v>
      </c>
      <c r="L13" s="216">
        <f t="shared" si="6"/>
        <v>-1</v>
      </c>
      <c r="M13" s="216">
        <f t="shared" si="7"/>
        <v>2</v>
      </c>
      <c r="N13" s="255" t="str">
        <f t="shared" si="8"/>
        <v/>
      </c>
      <c r="O13" s="255" t="str">
        <f t="shared" si="9"/>
        <v/>
      </c>
      <c r="P13" s="255" t="str">
        <f t="shared" si="10"/>
        <v/>
      </c>
      <c r="Q13" s="255" t="str">
        <f t="shared" si="11"/>
        <v/>
      </c>
      <c r="R13" s="255" t="e">
        <f t="shared" si="0"/>
        <v>#N/A</v>
      </c>
      <c r="Z13" s="215">
        <v>8</v>
      </c>
      <c r="AA13" s="215">
        <v>0.9</v>
      </c>
      <c r="AC13" s="265">
        <v>44774</v>
      </c>
      <c r="AD13" s="266">
        <v>31.826309605638095</v>
      </c>
      <c r="AE13" s="266">
        <v>25.785655156852158</v>
      </c>
      <c r="AF13" s="266">
        <v>35.236393130230461</v>
      </c>
      <c r="AG13" s="266">
        <v>46.163471485597555</v>
      </c>
      <c r="AH13" s="266">
        <v>29.483267068828788</v>
      </c>
      <c r="AJ13" s="217">
        <v>41671</v>
      </c>
      <c r="AK13" s="218">
        <v>33.800613507384668</v>
      </c>
      <c r="AM13" s="250">
        <v>42401</v>
      </c>
      <c r="AN13" s="251">
        <v>1.2268518518518518E-3</v>
      </c>
      <c r="AO13" s="251">
        <v>1.1921296296296296E-3</v>
      </c>
      <c r="AP13" s="251">
        <v>1.1689814814814816E-3</v>
      </c>
    </row>
    <row r="14" spans="1:42">
      <c r="A14" s="215">
        <v>9</v>
      </c>
      <c r="B14" s="215">
        <v>2.5</v>
      </c>
      <c r="D14">
        <f t="shared" si="12"/>
        <v>1.6</v>
      </c>
      <c r="E14">
        <f t="shared" si="13"/>
        <v>1.191304347826087</v>
      </c>
      <c r="F14">
        <f t="shared" si="14"/>
        <v>3.891991304347826</v>
      </c>
      <c r="G14">
        <f t="shared" si="1"/>
        <v>3.1666666666666661</v>
      </c>
      <c r="H14">
        <f t="shared" si="2"/>
        <v>-2.2028985507254184E-3</v>
      </c>
      <c r="I14">
        <f t="shared" si="3"/>
        <v>6.335536231884058</v>
      </c>
      <c r="J14">
        <f t="shared" si="4"/>
        <v>-0.63124087591240807</v>
      </c>
      <c r="K14" s="216">
        <f t="shared" si="5"/>
        <v>-0.63124087591240807</v>
      </c>
      <c r="L14" s="216">
        <f t="shared" si="6"/>
        <v>-1</v>
      </c>
      <c r="M14" s="216">
        <f t="shared" si="7"/>
        <v>3</v>
      </c>
      <c r="N14" s="255" t="str">
        <f t="shared" si="8"/>
        <v/>
      </c>
      <c r="O14" s="255" t="str">
        <f t="shared" si="9"/>
        <v/>
      </c>
      <c r="P14" s="255" t="str">
        <f t="shared" si="10"/>
        <v/>
      </c>
      <c r="Q14" s="255" t="str">
        <f t="shared" si="11"/>
        <v/>
      </c>
      <c r="R14" s="255" t="e">
        <f t="shared" si="0"/>
        <v>#N/A</v>
      </c>
      <c r="Z14" s="215">
        <v>9</v>
      </c>
      <c r="AA14" s="215">
        <v>2.5</v>
      </c>
      <c r="AC14" s="265">
        <v>44805</v>
      </c>
      <c r="AD14" s="266">
        <v>27.799081996715294</v>
      </c>
      <c r="AE14" s="266">
        <v>20.12717546449614</v>
      </c>
      <c r="AF14" s="266">
        <v>25.339693376486892</v>
      </c>
      <c r="AG14" s="266">
        <v>36.656366157322267</v>
      </c>
      <c r="AH14" s="266">
        <v>29.376399433421231</v>
      </c>
      <c r="AJ14" s="217">
        <v>41699</v>
      </c>
      <c r="AK14" s="218">
        <v>26.086806392398255</v>
      </c>
      <c r="AM14" s="250">
        <v>42430</v>
      </c>
      <c r="AN14" s="251">
        <v>1.4004629629629629E-3</v>
      </c>
      <c r="AO14" s="251">
        <v>1.4467592592592594E-3</v>
      </c>
      <c r="AP14" s="251">
        <v>1.3773148148148147E-3</v>
      </c>
    </row>
    <row r="15" spans="1:42">
      <c r="A15" s="215">
        <v>10</v>
      </c>
      <c r="B15" s="215">
        <v>3.1</v>
      </c>
      <c r="D15">
        <f t="shared" si="12"/>
        <v>0.60000000000000009</v>
      </c>
      <c r="E15">
        <f t="shared" si="13"/>
        <v>1.191304347826087</v>
      </c>
      <c r="F15">
        <f t="shared" si="14"/>
        <v>3.891991304347826</v>
      </c>
      <c r="G15">
        <f t="shared" si="1"/>
        <v>3.1666666666666661</v>
      </c>
      <c r="H15">
        <f t="shared" si="2"/>
        <v>-2.2028985507254184E-3</v>
      </c>
      <c r="I15">
        <f t="shared" si="3"/>
        <v>6.335536231884058</v>
      </c>
      <c r="J15">
        <f t="shared" si="4"/>
        <v>-6.3124087591240219E-2</v>
      </c>
      <c r="K15" s="216">
        <f t="shared" si="5"/>
        <v>-6.3124087591240219E-2</v>
      </c>
      <c r="L15" s="216">
        <f t="shared" si="6"/>
        <v>-1</v>
      </c>
      <c r="M15" s="216">
        <f t="shared" si="7"/>
        <v>4</v>
      </c>
      <c r="N15" s="255" t="str">
        <f t="shared" si="8"/>
        <v/>
      </c>
      <c r="O15" s="255" t="str">
        <f t="shared" si="9"/>
        <v/>
      </c>
      <c r="P15" s="255" t="str">
        <f t="shared" si="10"/>
        <v/>
      </c>
      <c r="Q15" s="255" t="str">
        <f t="shared" si="11"/>
        <v/>
      </c>
      <c r="R15" s="255" t="e">
        <f t="shared" si="0"/>
        <v>#N/A</v>
      </c>
      <c r="Z15" s="215">
        <v>10</v>
      </c>
      <c r="AA15" s="215">
        <v>3.1</v>
      </c>
      <c r="AC15" s="265">
        <v>44835</v>
      </c>
      <c r="AD15" s="266">
        <v>33.717068950132898</v>
      </c>
      <c r="AE15" s="266">
        <v>27.94499865538069</v>
      </c>
      <c r="AF15" s="266">
        <v>31.798886178425285</v>
      </c>
      <c r="AG15" s="266">
        <v>31.709120446081457</v>
      </c>
      <c r="AH15" s="266">
        <v>30.394593377018467</v>
      </c>
      <c r="AJ15" s="217">
        <v>41730</v>
      </c>
      <c r="AK15" s="218">
        <v>36.658717227142766</v>
      </c>
      <c r="AM15" s="250">
        <v>42461</v>
      </c>
      <c r="AN15" s="251">
        <v>1.423611111111111E-3</v>
      </c>
      <c r="AO15" s="251">
        <v>1.2268518518518518E-3</v>
      </c>
      <c r="AP15" s="251">
        <v>1.2268518518518518E-3</v>
      </c>
    </row>
    <row r="16" spans="1:42">
      <c r="A16" s="215">
        <v>11</v>
      </c>
      <c r="B16" s="215">
        <v>3.6</v>
      </c>
      <c r="D16">
        <f t="shared" si="12"/>
        <v>0.5</v>
      </c>
      <c r="E16">
        <f t="shared" si="13"/>
        <v>1.191304347826087</v>
      </c>
      <c r="F16">
        <f t="shared" si="14"/>
        <v>3.891991304347826</v>
      </c>
      <c r="G16">
        <f t="shared" si="1"/>
        <v>3.1666666666666661</v>
      </c>
      <c r="H16">
        <f t="shared" si="2"/>
        <v>-2.2028985507254184E-3</v>
      </c>
      <c r="I16">
        <f t="shared" si="3"/>
        <v>6.335536231884058</v>
      </c>
      <c r="J16">
        <f t="shared" si="4"/>
        <v>0.41030656934306625</v>
      </c>
      <c r="K16" s="216">
        <f t="shared" si="5"/>
        <v>0.41030656934306625</v>
      </c>
      <c r="L16" s="216">
        <f t="shared" si="6"/>
        <v>1</v>
      </c>
      <c r="M16" s="216">
        <f t="shared" si="7"/>
        <v>1</v>
      </c>
      <c r="N16" s="255" t="str">
        <f t="shared" si="8"/>
        <v/>
      </c>
      <c r="O16" s="255" t="str">
        <f t="shared" si="9"/>
        <v/>
      </c>
      <c r="P16" s="255" t="str">
        <f t="shared" si="10"/>
        <v/>
      </c>
      <c r="Q16" s="255" t="str">
        <f t="shared" si="11"/>
        <v/>
      </c>
      <c r="R16" s="255" t="e">
        <f t="shared" si="0"/>
        <v>#N/A</v>
      </c>
      <c r="Z16" s="215">
        <v>11</v>
      </c>
      <c r="AA16" s="215">
        <v>3.6</v>
      </c>
      <c r="AC16" s="265">
        <v>44866</v>
      </c>
      <c r="AD16" s="266">
        <v>30.167475134591907</v>
      </c>
      <c r="AE16" s="266">
        <v>28.880720295224698</v>
      </c>
      <c r="AF16" s="266">
        <v>31.082047268097355</v>
      </c>
      <c r="AG16" s="266">
        <v>39.207046668966399</v>
      </c>
      <c r="AH16" s="266">
        <v>30.226895739594919</v>
      </c>
      <c r="AJ16" s="217">
        <v>41760</v>
      </c>
      <c r="AK16" s="218">
        <v>38.175162975154969</v>
      </c>
      <c r="AM16" s="250">
        <v>42491</v>
      </c>
      <c r="AN16" s="251">
        <v>1.2847222222222223E-3</v>
      </c>
      <c r="AO16" s="251">
        <v>1.3425925925925925E-3</v>
      </c>
      <c r="AP16" s="251">
        <v>1.25E-3</v>
      </c>
    </row>
    <row r="17" spans="1:42">
      <c r="A17" s="215">
        <v>12</v>
      </c>
      <c r="B17" s="215">
        <v>4.0999999999999996</v>
      </c>
      <c r="D17">
        <f t="shared" si="12"/>
        <v>0.49999999999999956</v>
      </c>
      <c r="E17">
        <f t="shared" si="13"/>
        <v>1.191304347826087</v>
      </c>
      <c r="F17">
        <f t="shared" si="14"/>
        <v>3.891991304347826</v>
      </c>
      <c r="G17">
        <f t="shared" si="1"/>
        <v>3.1666666666666661</v>
      </c>
      <c r="H17">
        <f t="shared" si="2"/>
        <v>-2.2028985507254184E-3</v>
      </c>
      <c r="I17">
        <f t="shared" si="3"/>
        <v>6.335536231884058</v>
      </c>
      <c r="J17">
        <f t="shared" si="4"/>
        <v>0.88373722627737228</v>
      </c>
      <c r="K17" s="216">
        <f t="shared" si="5"/>
        <v>0.88373722627737228</v>
      </c>
      <c r="L17" s="216">
        <f t="shared" si="6"/>
        <v>1</v>
      </c>
      <c r="M17" s="216">
        <f t="shared" si="7"/>
        <v>2</v>
      </c>
      <c r="N17" s="255" t="str">
        <f t="shared" si="8"/>
        <v/>
      </c>
      <c r="O17" s="255" t="str">
        <f t="shared" si="9"/>
        <v/>
      </c>
      <c r="P17" s="255" t="str">
        <f t="shared" si="10"/>
        <v/>
      </c>
      <c r="Q17" s="255" t="str">
        <f t="shared" si="11"/>
        <v/>
      </c>
      <c r="R17" s="255" t="e">
        <f t="shared" si="0"/>
        <v>#N/A</v>
      </c>
      <c r="Z17" s="215">
        <v>12</v>
      </c>
      <c r="AA17" s="215">
        <v>4.0999999999999996</v>
      </c>
      <c r="AC17" s="265">
        <v>44896</v>
      </c>
      <c r="AD17" s="266">
        <v>27.096407120843015</v>
      </c>
      <c r="AE17" s="266">
        <v>31.164758277793119</v>
      </c>
      <c r="AF17" s="266">
        <v>40.54267644532878</v>
      </c>
      <c r="AG17" s="266">
        <v>33.647708542008367</v>
      </c>
      <c r="AH17" s="266">
        <v>31.724744081983939</v>
      </c>
      <c r="AJ17" s="217">
        <v>41791</v>
      </c>
      <c r="AK17" s="218">
        <v>29.147051331955353</v>
      </c>
      <c r="AM17" s="250">
        <v>42522</v>
      </c>
      <c r="AN17" s="251">
        <v>1.3888888888888889E-3</v>
      </c>
      <c r="AO17" s="251">
        <v>1.261574074074074E-3</v>
      </c>
      <c r="AP17" s="251">
        <v>1.0879629629629629E-3</v>
      </c>
    </row>
    <row r="18" spans="1:42">
      <c r="A18" s="215">
        <v>13</v>
      </c>
      <c r="B18" s="215">
        <v>3.8</v>
      </c>
      <c r="D18">
        <f t="shared" si="12"/>
        <v>0.29999999999999982</v>
      </c>
      <c r="E18">
        <f t="shared" si="13"/>
        <v>1.191304347826087</v>
      </c>
      <c r="F18">
        <f t="shared" si="14"/>
        <v>3.891991304347826</v>
      </c>
      <c r="G18">
        <f t="shared" si="1"/>
        <v>3.1666666666666661</v>
      </c>
      <c r="H18">
        <f t="shared" si="2"/>
        <v>-2.2028985507254184E-3</v>
      </c>
      <c r="I18">
        <f t="shared" si="3"/>
        <v>6.335536231884058</v>
      </c>
      <c r="J18">
        <f t="shared" si="4"/>
        <v>0.59967883211678863</v>
      </c>
      <c r="K18" s="216">
        <f t="shared" si="5"/>
        <v>0.59967883211678863</v>
      </c>
      <c r="L18" s="216">
        <f t="shared" si="6"/>
        <v>1</v>
      </c>
      <c r="M18" s="216">
        <f t="shared" si="7"/>
        <v>3</v>
      </c>
      <c r="N18" s="255" t="str">
        <f t="shared" si="8"/>
        <v/>
      </c>
      <c r="O18" s="255" t="str">
        <f t="shared" si="9"/>
        <v/>
      </c>
      <c r="P18" s="255" t="str">
        <f t="shared" si="10"/>
        <v/>
      </c>
      <c r="Q18" s="255" t="str">
        <f t="shared" si="11"/>
        <v/>
      </c>
      <c r="R18" s="255" t="e">
        <f t="shared" si="0"/>
        <v>#N/A</v>
      </c>
      <c r="Z18" s="215">
        <v>13</v>
      </c>
      <c r="AA18" s="215">
        <v>3.8</v>
      </c>
      <c r="AC18" s="265">
        <v>44927</v>
      </c>
      <c r="AD18" s="266">
        <v>26.923272223878854</v>
      </c>
      <c r="AE18" s="266">
        <v>37.931641470224207</v>
      </c>
      <c r="AF18" s="266">
        <v>26.75910665691821</v>
      </c>
      <c r="AG18" s="266">
        <v>34.347946696877599</v>
      </c>
      <c r="AH18" s="266">
        <v>30.863931913457797</v>
      </c>
      <c r="AJ18" s="217">
        <v>41821</v>
      </c>
      <c r="AK18" s="218">
        <v>29.306600974979016</v>
      </c>
      <c r="AM18" s="250">
        <v>42552</v>
      </c>
      <c r="AN18" s="251">
        <v>1.3078703703703705E-3</v>
      </c>
      <c r="AO18" s="251">
        <v>1.3078703703703705E-3</v>
      </c>
      <c r="AP18" s="251">
        <v>1.0763888888888889E-3</v>
      </c>
    </row>
    <row r="19" spans="1:42">
      <c r="A19" s="215">
        <v>14</v>
      </c>
      <c r="B19" s="215">
        <v>2.5</v>
      </c>
      <c r="D19">
        <f t="shared" si="12"/>
        <v>1.2999999999999998</v>
      </c>
      <c r="E19">
        <f t="shared" si="13"/>
        <v>1.191304347826087</v>
      </c>
      <c r="F19">
        <f t="shared" si="14"/>
        <v>3.891991304347826</v>
      </c>
      <c r="G19">
        <f t="shared" si="1"/>
        <v>3.1666666666666661</v>
      </c>
      <c r="H19">
        <f t="shared" si="2"/>
        <v>-2.2028985507254184E-3</v>
      </c>
      <c r="I19">
        <f t="shared" si="3"/>
        <v>6.335536231884058</v>
      </c>
      <c r="J19">
        <f t="shared" si="4"/>
        <v>-0.63124087591240807</v>
      </c>
      <c r="K19" s="216">
        <f t="shared" si="5"/>
        <v>-0.63124087591240807</v>
      </c>
      <c r="L19" s="216">
        <f t="shared" si="6"/>
        <v>-1</v>
      </c>
      <c r="M19" s="216">
        <f t="shared" si="7"/>
        <v>1</v>
      </c>
      <c r="N19" s="255" t="str">
        <f t="shared" si="8"/>
        <v/>
      </c>
      <c r="O19" s="255" t="str">
        <f t="shared" si="9"/>
        <v/>
      </c>
      <c r="P19" s="255" t="str">
        <f t="shared" si="10"/>
        <v/>
      </c>
      <c r="Q19" s="255" t="str">
        <f t="shared" si="11"/>
        <v/>
      </c>
      <c r="R19" s="255" t="e">
        <f t="shared" si="0"/>
        <v>#N/A</v>
      </c>
      <c r="Z19" s="215">
        <v>14</v>
      </c>
      <c r="AA19" s="215">
        <v>2.5</v>
      </c>
      <c r="AC19" s="265">
        <v>44958</v>
      </c>
      <c r="AD19" s="266">
        <v>22.976398129537518</v>
      </c>
      <c r="AE19" s="266">
        <v>32.215548316763126</v>
      </c>
      <c r="AF19" s="266">
        <v>29.494840372238073</v>
      </c>
      <c r="AG19" s="266">
        <v>37.252012127352977</v>
      </c>
      <c r="AH19" s="266">
        <v>30.490346466202109</v>
      </c>
      <c r="AJ19" s="217">
        <v>41852</v>
      </c>
      <c r="AK19" s="218">
        <v>39.193759448517511</v>
      </c>
      <c r="AM19" s="250">
        <v>42583</v>
      </c>
      <c r="AN19" s="251">
        <v>1.261574074074074E-3</v>
      </c>
      <c r="AO19" s="251">
        <v>1.4814814814814814E-3</v>
      </c>
      <c r="AP19" s="251">
        <v>1.0185185185185186E-3</v>
      </c>
    </row>
    <row r="20" spans="1:42">
      <c r="A20" s="215">
        <v>15</v>
      </c>
      <c r="B20" s="215">
        <v>2.8</v>
      </c>
      <c r="D20">
        <f t="shared" si="12"/>
        <v>0.29999999999999982</v>
      </c>
      <c r="E20">
        <f t="shared" si="13"/>
        <v>1.191304347826087</v>
      </c>
      <c r="F20">
        <f t="shared" si="14"/>
        <v>3.891991304347826</v>
      </c>
      <c r="G20">
        <f t="shared" si="1"/>
        <v>3.1666666666666661</v>
      </c>
      <c r="H20">
        <f t="shared" si="2"/>
        <v>-2.2028985507254184E-3</v>
      </c>
      <c r="I20">
        <f t="shared" si="3"/>
        <v>6.335536231884058</v>
      </c>
      <c r="J20">
        <f t="shared" si="4"/>
        <v>-0.34718248175182437</v>
      </c>
      <c r="K20" s="216">
        <f t="shared" si="5"/>
        <v>-0.34718248175182437</v>
      </c>
      <c r="L20" s="216">
        <f t="shared" si="6"/>
        <v>-1</v>
      </c>
      <c r="M20" s="216">
        <f t="shared" si="7"/>
        <v>2</v>
      </c>
      <c r="N20" s="255" t="str">
        <f t="shared" si="8"/>
        <v/>
      </c>
      <c r="O20" s="255" t="str">
        <f t="shared" si="9"/>
        <v/>
      </c>
      <c r="P20" s="255" t="str">
        <f t="shared" si="10"/>
        <v/>
      </c>
      <c r="Q20" s="255" t="str">
        <f t="shared" si="11"/>
        <v/>
      </c>
      <c r="R20" s="255" t="e">
        <f t="shared" si="0"/>
        <v>#N/A</v>
      </c>
      <c r="Z20" s="215">
        <v>15</v>
      </c>
      <c r="AA20" s="215">
        <v>2.8</v>
      </c>
      <c r="AC20" s="265">
        <v>44986</v>
      </c>
      <c r="AD20" s="266">
        <v>22.53098615535885</v>
      </c>
      <c r="AE20" s="266">
        <v>37.096508207481762</v>
      </c>
      <c r="AF20" s="266">
        <v>30.458420163304709</v>
      </c>
      <c r="AG20" s="266">
        <v>32.975918893651148</v>
      </c>
      <c r="AH20" s="266">
        <v>33.373013386458368</v>
      </c>
      <c r="AJ20" s="217">
        <v>41883</v>
      </c>
      <c r="AK20" s="218">
        <v>36.504506729596905</v>
      </c>
    </row>
    <row r="21" spans="1:42">
      <c r="A21" s="215">
        <v>16</v>
      </c>
      <c r="B21" s="215">
        <v>4.3</v>
      </c>
      <c r="D21">
        <f t="shared" si="12"/>
        <v>1.5</v>
      </c>
      <c r="E21">
        <f t="shared" si="13"/>
        <v>1.191304347826087</v>
      </c>
      <c r="F21">
        <f t="shared" si="14"/>
        <v>3.891991304347826</v>
      </c>
      <c r="G21">
        <f t="shared" si="1"/>
        <v>3.1666666666666661</v>
      </c>
      <c r="H21">
        <f t="shared" si="2"/>
        <v>-2.2028985507254184E-3</v>
      </c>
      <c r="I21">
        <f t="shared" si="3"/>
        <v>6.335536231884058</v>
      </c>
      <c r="J21">
        <f t="shared" si="4"/>
        <v>1.073109489051095</v>
      </c>
      <c r="K21" s="216">
        <f t="shared" si="5"/>
        <v>1.073109489051095</v>
      </c>
      <c r="L21" s="216">
        <f t="shared" si="6"/>
        <v>1</v>
      </c>
      <c r="M21" s="216">
        <f t="shared" si="7"/>
        <v>1</v>
      </c>
      <c r="N21" s="255" t="str">
        <f t="shared" si="8"/>
        <v/>
      </c>
      <c r="O21" s="255" t="str">
        <f t="shared" si="9"/>
        <v/>
      </c>
      <c r="P21" s="255" t="str">
        <f t="shared" si="10"/>
        <v/>
      </c>
      <c r="Q21" s="255" t="str">
        <f t="shared" si="11"/>
        <v/>
      </c>
      <c r="R21" s="255" t="e">
        <f t="shared" si="0"/>
        <v>#N/A</v>
      </c>
      <c r="Z21" s="215">
        <v>16</v>
      </c>
      <c r="AA21" s="215">
        <v>4.3</v>
      </c>
      <c r="AC21" s="265">
        <v>45017</v>
      </c>
      <c r="AD21" s="266">
        <v>24.970533429287187</v>
      </c>
      <c r="AE21" s="266">
        <v>33.052487545451676</v>
      </c>
      <c r="AF21" s="266">
        <v>33.481187676735487</v>
      </c>
      <c r="AG21" s="266">
        <v>22.740967843374609</v>
      </c>
      <c r="AH21" s="266">
        <v>35.047334673919636</v>
      </c>
      <c r="AJ21" s="217">
        <v>41913</v>
      </c>
      <c r="AK21" s="218">
        <v>33.359224449369869</v>
      </c>
    </row>
    <row r="22" spans="1:42">
      <c r="A22" s="215">
        <v>17</v>
      </c>
      <c r="B22" s="215">
        <v>4.0999999999999996</v>
      </c>
      <c r="D22">
        <f t="shared" si="12"/>
        <v>0.20000000000000018</v>
      </c>
      <c r="E22">
        <f t="shared" si="13"/>
        <v>1.191304347826087</v>
      </c>
      <c r="F22">
        <f t="shared" si="14"/>
        <v>3.891991304347826</v>
      </c>
      <c r="G22">
        <f t="shared" si="1"/>
        <v>3.1666666666666661</v>
      </c>
      <c r="H22">
        <f t="shared" si="2"/>
        <v>-2.2028985507254184E-3</v>
      </c>
      <c r="I22">
        <f t="shared" si="3"/>
        <v>6.335536231884058</v>
      </c>
      <c r="J22">
        <f t="shared" si="4"/>
        <v>0.88373722627737228</v>
      </c>
      <c r="K22" s="216">
        <f t="shared" si="5"/>
        <v>0.88373722627737228</v>
      </c>
      <c r="L22" s="216">
        <f t="shared" si="6"/>
        <v>1</v>
      </c>
      <c r="M22" s="216">
        <f t="shared" si="7"/>
        <v>2</v>
      </c>
      <c r="N22" s="255" t="str">
        <f t="shared" si="8"/>
        <v/>
      </c>
      <c r="O22" s="255" t="str">
        <f t="shared" si="9"/>
        <v/>
      </c>
      <c r="P22" s="255" t="str">
        <f t="shared" si="10"/>
        <v/>
      </c>
      <c r="Q22" s="255" t="str">
        <f t="shared" si="11"/>
        <v/>
      </c>
      <c r="R22" s="255" t="e">
        <f t="shared" si="0"/>
        <v>#N/A</v>
      </c>
      <c r="Z22" s="215">
        <v>17</v>
      </c>
      <c r="AA22" s="215">
        <v>4.0999999999999996</v>
      </c>
      <c r="AC22" s="265">
        <v>45047</v>
      </c>
      <c r="AD22" s="266">
        <v>14.368380639801648</v>
      </c>
      <c r="AE22" s="266">
        <v>48.628932047063628</v>
      </c>
      <c r="AF22" s="266">
        <v>41.840651537820037</v>
      </c>
      <c r="AG22" s="266">
        <v>50.68472173611066</v>
      </c>
      <c r="AH22" s="266">
        <v>36.591952000909636</v>
      </c>
      <c r="AJ22" s="217">
        <v>41944</v>
      </c>
      <c r="AK22" s="218">
        <v>39.452683472942198</v>
      </c>
    </row>
    <row r="23" spans="1:42">
      <c r="A23" s="215">
        <v>18</v>
      </c>
      <c r="B23" s="215">
        <v>3.6</v>
      </c>
      <c r="D23">
        <f t="shared" si="12"/>
        <v>0.49999999999999956</v>
      </c>
      <c r="E23">
        <f t="shared" si="13"/>
        <v>1.191304347826087</v>
      </c>
      <c r="F23">
        <f t="shared" si="14"/>
        <v>3.891991304347826</v>
      </c>
      <c r="G23">
        <f t="shared" si="1"/>
        <v>3.1666666666666661</v>
      </c>
      <c r="H23">
        <f t="shared" si="2"/>
        <v>-2.2028985507254184E-3</v>
      </c>
      <c r="I23">
        <f t="shared" si="3"/>
        <v>6.335536231884058</v>
      </c>
      <c r="J23">
        <f t="shared" si="4"/>
        <v>0.41030656934306625</v>
      </c>
      <c r="K23" s="216">
        <f t="shared" si="5"/>
        <v>0.41030656934306625</v>
      </c>
      <c r="L23" s="216">
        <f t="shared" si="6"/>
        <v>1</v>
      </c>
      <c r="M23" s="216">
        <f t="shared" si="7"/>
        <v>3</v>
      </c>
      <c r="N23" s="255" t="str">
        <f t="shared" si="8"/>
        <v/>
      </c>
      <c r="O23" s="255" t="str">
        <f t="shared" si="9"/>
        <v/>
      </c>
      <c r="P23" s="255" t="str">
        <f t="shared" si="10"/>
        <v/>
      </c>
      <c r="Q23" s="255" t="str">
        <f t="shared" si="11"/>
        <v/>
      </c>
      <c r="R23" s="255" t="e">
        <f t="shared" si="0"/>
        <v>#N/A</v>
      </c>
      <c r="Z23" s="215">
        <v>18</v>
      </c>
      <c r="AA23" s="215">
        <v>3.6</v>
      </c>
      <c r="AC23" s="265">
        <v>45078</v>
      </c>
      <c r="AD23" s="266">
        <v>18.376442753767883</v>
      </c>
      <c r="AE23" s="266">
        <v>53.176661687619685</v>
      </c>
      <c r="AF23" s="266">
        <v>39.988721782336299</v>
      </c>
      <c r="AG23" s="266">
        <v>31.185860825014377</v>
      </c>
      <c r="AH23" s="266">
        <v>40.679700224209135</v>
      </c>
      <c r="AJ23" s="217">
        <v>41974</v>
      </c>
      <c r="AK23" s="218">
        <v>44.920698396842553</v>
      </c>
    </row>
    <row r="24" spans="1:42">
      <c r="A24" s="215">
        <v>19</v>
      </c>
      <c r="B24" s="215">
        <v>2.4</v>
      </c>
      <c r="D24">
        <f t="shared" si="12"/>
        <v>1.2000000000000002</v>
      </c>
      <c r="E24">
        <f t="shared" si="13"/>
        <v>1.191304347826087</v>
      </c>
      <c r="F24">
        <f t="shared" si="14"/>
        <v>3.891991304347826</v>
      </c>
      <c r="G24">
        <f t="shared" si="1"/>
        <v>3.1666666666666661</v>
      </c>
      <c r="H24">
        <f t="shared" si="2"/>
        <v>-2.2028985507254184E-3</v>
      </c>
      <c r="I24">
        <f t="shared" si="3"/>
        <v>6.335536231884058</v>
      </c>
      <c r="J24">
        <f t="shared" si="4"/>
        <v>-0.7259270072992694</v>
      </c>
      <c r="K24" s="216">
        <f t="shared" si="5"/>
        <v>-0.7259270072992694</v>
      </c>
      <c r="L24" s="216">
        <f t="shared" si="6"/>
        <v>-1</v>
      </c>
      <c r="M24" s="216">
        <f t="shared" si="7"/>
        <v>1</v>
      </c>
      <c r="N24" s="255" t="str">
        <f t="shared" si="8"/>
        <v/>
      </c>
      <c r="O24" s="255" t="str">
        <f t="shared" si="9"/>
        <v/>
      </c>
      <c r="P24" s="255" t="str">
        <f t="shared" si="10"/>
        <v/>
      </c>
      <c r="Q24" s="255" t="str">
        <f t="shared" si="11"/>
        <v/>
      </c>
      <c r="R24" s="255" t="e">
        <f t="shared" si="0"/>
        <v>#N/A</v>
      </c>
      <c r="Z24" s="215">
        <v>19</v>
      </c>
      <c r="AA24" s="215">
        <v>2.4</v>
      </c>
      <c r="AC24" s="265">
        <v>45108</v>
      </c>
      <c r="AD24" s="266">
        <v>15.908673602653034</v>
      </c>
      <c r="AE24" s="266">
        <v>42.805268744313558</v>
      </c>
      <c r="AF24" s="266">
        <v>39.402147693711285</v>
      </c>
      <c r="AG24" s="266">
        <v>36.806144537603821</v>
      </c>
      <c r="AH24" s="266">
        <v>44.864152228174262</v>
      </c>
      <c r="AJ24" s="217">
        <v>42005</v>
      </c>
      <c r="AK24" s="218">
        <v>38.966916142111295</v>
      </c>
    </row>
    <row r="25" spans="1:42">
      <c r="A25" s="215">
        <v>20</v>
      </c>
      <c r="B25" s="215">
        <v>4.8</v>
      </c>
      <c r="D25">
        <f t="shared" si="12"/>
        <v>2.4</v>
      </c>
      <c r="E25">
        <f t="shared" si="13"/>
        <v>1.191304347826087</v>
      </c>
      <c r="F25">
        <f t="shared" si="14"/>
        <v>3.891991304347826</v>
      </c>
      <c r="G25">
        <f t="shared" si="1"/>
        <v>3.1666666666666661</v>
      </c>
      <c r="H25">
        <f t="shared" si="2"/>
        <v>-2.2028985507254184E-3</v>
      </c>
      <c r="I25">
        <f t="shared" si="3"/>
        <v>6.335536231884058</v>
      </c>
      <c r="J25">
        <f t="shared" si="4"/>
        <v>1.5465401459854016</v>
      </c>
      <c r="K25" s="216">
        <f t="shared" si="5"/>
        <v>1.5465401459854016</v>
      </c>
      <c r="L25" s="216">
        <f t="shared" si="6"/>
        <v>1</v>
      </c>
      <c r="M25" s="216">
        <f t="shared" si="7"/>
        <v>1</v>
      </c>
      <c r="N25" s="255" t="str">
        <f t="shared" si="8"/>
        <v/>
      </c>
      <c r="O25" s="255" t="str">
        <f t="shared" si="9"/>
        <v/>
      </c>
      <c r="P25" s="255" t="str">
        <f t="shared" si="10"/>
        <v/>
      </c>
      <c r="Q25" s="255" t="str">
        <f t="shared" si="11"/>
        <v/>
      </c>
      <c r="R25" s="255" t="e">
        <f t="shared" si="0"/>
        <v>#N/A</v>
      </c>
      <c r="Z25" s="215">
        <v>20</v>
      </c>
      <c r="AA25" s="215">
        <v>4.8</v>
      </c>
      <c r="AC25" s="265">
        <v>45139</v>
      </c>
      <c r="AD25" s="266">
        <v>18.27224654059383</v>
      </c>
      <c r="AE25" s="266">
        <v>51.461153374550435</v>
      </c>
      <c r="AF25" s="266">
        <v>36.964004937849261</v>
      </c>
      <c r="AG25" s="266">
        <v>40.12879306956966</v>
      </c>
      <c r="AH25" s="266">
        <v>45.258778212090263</v>
      </c>
      <c r="AJ25" s="217">
        <v>42036</v>
      </c>
      <c r="AK25" s="218">
        <v>32.110582832015432</v>
      </c>
    </row>
    <row r="26" spans="1:42">
      <c r="A26" s="215">
        <v>21</v>
      </c>
      <c r="B26" s="215">
        <v>3.5</v>
      </c>
      <c r="D26">
        <f t="shared" si="12"/>
        <v>1.2999999999999998</v>
      </c>
      <c r="E26">
        <f t="shared" si="13"/>
        <v>1.191304347826087</v>
      </c>
      <c r="F26">
        <f t="shared" si="14"/>
        <v>3.891991304347826</v>
      </c>
      <c r="G26">
        <f t="shared" si="1"/>
        <v>3.1666666666666661</v>
      </c>
      <c r="H26">
        <f t="shared" si="2"/>
        <v>-2.2028985507254184E-3</v>
      </c>
      <c r="I26">
        <f t="shared" si="3"/>
        <v>6.335536231884058</v>
      </c>
      <c r="J26">
        <f t="shared" si="4"/>
        <v>0.31562043795620487</v>
      </c>
      <c r="K26" s="216">
        <f t="shared" si="5"/>
        <v>0.31562043795620487</v>
      </c>
      <c r="L26" s="216">
        <f t="shared" si="6"/>
        <v>1</v>
      </c>
      <c r="M26" s="216">
        <f t="shared" si="7"/>
        <v>2</v>
      </c>
      <c r="N26" s="255" t="str">
        <f t="shared" si="8"/>
        <v/>
      </c>
      <c r="O26" s="255" t="str">
        <f t="shared" si="9"/>
        <v/>
      </c>
      <c r="P26" s="255" t="str">
        <f t="shared" si="10"/>
        <v/>
      </c>
      <c r="Q26" s="255" t="str">
        <f t="shared" si="11"/>
        <v/>
      </c>
      <c r="R26" s="255" t="e">
        <f t="shared" si="0"/>
        <v>#N/A</v>
      </c>
      <c r="Z26" s="215">
        <v>21</v>
      </c>
      <c r="AA26" s="215">
        <v>3.5</v>
      </c>
      <c r="AC26" s="265">
        <v>45170</v>
      </c>
      <c r="AD26" s="266">
        <v>20.95502269966828</v>
      </c>
      <c r="AE26" s="266">
        <v>38.327161862014727</v>
      </c>
      <c r="AF26" s="266">
        <v>31.67704679517816</v>
      </c>
      <c r="AG26" s="266">
        <v>42.803767518541228</v>
      </c>
      <c r="AH26" s="266">
        <v>42.856440287393475</v>
      </c>
      <c r="AJ26" s="217">
        <v>42064</v>
      </c>
      <c r="AK26" s="218">
        <v>40.315973515524576</v>
      </c>
    </row>
    <row r="27" spans="1:42">
      <c r="A27" s="215">
        <v>22</v>
      </c>
      <c r="B27" s="215">
        <v>2.5</v>
      </c>
      <c r="D27">
        <f t="shared" si="12"/>
        <v>1</v>
      </c>
      <c r="E27">
        <f t="shared" si="13"/>
        <v>1.191304347826087</v>
      </c>
      <c r="F27">
        <f t="shared" si="14"/>
        <v>3.891991304347826</v>
      </c>
      <c r="G27">
        <f t="shared" si="1"/>
        <v>3.1666666666666661</v>
      </c>
      <c r="H27">
        <f t="shared" si="2"/>
        <v>-2.2028985507254184E-3</v>
      </c>
      <c r="I27">
        <f t="shared" si="3"/>
        <v>6.335536231884058</v>
      </c>
      <c r="J27">
        <f t="shared" si="4"/>
        <v>-0.63124087591240807</v>
      </c>
      <c r="K27" s="216">
        <f t="shared" si="5"/>
        <v>-0.63124087591240807</v>
      </c>
      <c r="L27" s="216">
        <f t="shared" si="6"/>
        <v>-1</v>
      </c>
      <c r="M27" s="216">
        <f t="shared" si="7"/>
        <v>1</v>
      </c>
      <c r="N27" s="255" t="str">
        <f t="shared" si="8"/>
        <v/>
      </c>
      <c r="O27" s="255" t="str">
        <f t="shared" si="9"/>
        <v/>
      </c>
      <c r="P27" s="255" t="str">
        <f t="shared" si="10"/>
        <v/>
      </c>
      <c r="Q27" s="255" t="str">
        <f t="shared" si="11"/>
        <v/>
      </c>
      <c r="R27" s="255" t="e">
        <f t="shared" si="0"/>
        <v>#N/A</v>
      </c>
      <c r="Z27" s="215">
        <v>22</v>
      </c>
      <c r="AA27" s="215">
        <v>2.5</v>
      </c>
      <c r="AC27" s="265">
        <v>45200</v>
      </c>
      <c r="AD27" s="266">
        <v>24.130610094874672</v>
      </c>
      <c r="AE27" s="266">
        <v>30.662148993962244</v>
      </c>
      <c r="AF27" s="266">
        <v>32.622801663068934</v>
      </c>
      <c r="AG27" s="266">
        <v>28.486926391816858</v>
      </c>
      <c r="AH27" s="266">
        <v>40.015629119997342</v>
      </c>
      <c r="AJ27" s="217">
        <v>42095</v>
      </c>
      <c r="AK27" s="218">
        <v>36.658717227142766</v>
      </c>
    </row>
    <row r="28" spans="1:42">
      <c r="A28" s="215">
        <v>23</v>
      </c>
      <c r="B28" s="215">
        <v>1.3</v>
      </c>
      <c r="D28">
        <f t="shared" si="12"/>
        <v>1.2</v>
      </c>
      <c r="E28">
        <f t="shared" si="13"/>
        <v>1.191304347826087</v>
      </c>
      <c r="F28">
        <f t="shared" si="14"/>
        <v>3.891991304347826</v>
      </c>
      <c r="G28">
        <f t="shared" si="1"/>
        <v>3.1666666666666661</v>
      </c>
      <c r="H28">
        <f t="shared" si="2"/>
        <v>-2.2028985507254184E-3</v>
      </c>
      <c r="I28">
        <f t="shared" si="3"/>
        <v>6.335536231884058</v>
      </c>
      <c r="J28">
        <f t="shared" si="4"/>
        <v>-1.7674744525547437</v>
      </c>
      <c r="K28" s="216">
        <f t="shared" si="5"/>
        <v>-1.7674744525547437</v>
      </c>
      <c r="L28" s="216">
        <f t="shared" si="6"/>
        <v>-1</v>
      </c>
      <c r="M28" s="216">
        <f t="shared" si="7"/>
        <v>2</v>
      </c>
      <c r="N28" s="255" t="str">
        <f t="shared" si="8"/>
        <v/>
      </c>
      <c r="O28" s="255" t="str">
        <f t="shared" si="9"/>
        <v/>
      </c>
      <c r="P28" s="255" t="str">
        <f t="shared" si="10"/>
        <v/>
      </c>
      <c r="Q28" s="255" t="str">
        <f t="shared" si="11"/>
        <v/>
      </c>
      <c r="R28" s="255" t="e">
        <f t="shared" si="0"/>
        <v>#N/A</v>
      </c>
      <c r="Z28" s="215">
        <v>23</v>
      </c>
      <c r="AA28" s="215">
        <v>1.3</v>
      </c>
      <c r="AC28" s="265">
        <v>45231</v>
      </c>
      <c r="AD28" s="266">
        <v>18.811132209030369</v>
      </c>
      <c r="AE28" s="266">
        <v>39.305491225566122</v>
      </c>
      <c r="AF28" s="266">
        <v>31.366973227513661</v>
      </c>
      <c r="AG28" s="266">
        <v>37.477582187722355</v>
      </c>
      <c r="AH28" s="266">
        <v>40.24970119916005</v>
      </c>
      <c r="AJ28" s="217">
        <v>42125</v>
      </c>
      <c r="AK28" s="218">
        <v>41.726340926332178</v>
      </c>
    </row>
    <row r="29" spans="1:42">
      <c r="A29" s="215">
        <v>24</v>
      </c>
      <c r="B29" s="215">
        <v>4.5</v>
      </c>
      <c r="D29">
        <f t="shared" si="12"/>
        <v>3.2</v>
      </c>
      <c r="E29">
        <f t="shared" si="13"/>
        <v>1.191304347826087</v>
      </c>
      <c r="F29">
        <f t="shared" si="14"/>
        <v>3.891991304347826</v>
      </c>
      <c r="G29">
        <f t="shared" si="1"/>
        <v>3.1666666666666661</v>
      </c>
      <c r="H29">
        <f t="shared" si="2"/>
        <v>-2.2028985507254184E-3</v>
      </c>
      <c r="I29">
        <f t="shared" si="3"/>
        <v>6.335536231884058</v>
      </c>
      <c r="J29">
        <f t="shared" si="4"/>
        <v>1.2624817518248179</v>
      </c>
      <c r="K29" s="216">
        <f t="shared" si="5"/>
        <v>1.2624817518248179</v>
      </c>
      <c r="L29" s="216">
        <f t="shared" si="6"/>
        <v>1</v>
      </c>
      <c r="M29" s="216">
        <f t="shared" si="7"/>
        <v>1</v>
      </c>
      <c r="N29" s="255" t="str">
        <f t="shared" si="8"/>
        <v/>
      </c>
      <c r="O29" s="255" t="str">
        <f t="shared" si="9"/>
        <v/>
      </c>
      <c r="P29" s="255" t="str">
        <f t="shared" si="10"/>
        <v/>
      </c>
      <c r="Q29" s="255" t="str">
        <f t="shared" si="11"/>
        <v/>
      </c>
      <c r="R29" s="255" t="e">
        <f t="shared" si="0"/>
        <v>#N/A</v>
      </c>
      <c r="Z29" s="215">
        <v>24</v>
      </c>
      <c r="AA29" s="215">
        <v>4.5</v>
      </c>
      <c r="AC29" s="265">
        <v>45261</v>
      </c>
      <c r="AD29" s="266"/>
      <c r="AE29" s="266">
        <v>32.693861253577651</v>
      </c>
      <c r="AF29" s="266">
        <v>29.177424257501791</v>
      </c>
      <c r="AG29" s="266">
        <v>28.52622235291955</v>
      </c>
      <c r="AH29" s="266">
        <v>39.882295825657167</v>
      </c>
      <c r="AJ29" s="217">
        <v>42156</v>
      </c>
      <c r="AK29" s="218">
        <v>39.140326074340045</v>
      </c>
    </row>
    <row r="30" spans="1:42">
      <c r="A30" s="215"/>
      <c r="B30" s="215"/>
      <c r="D30" t="str">
        <f t="shared" si="12"/>
        <v/>
      </c>
      <c r="E30" t="str">
        <f t="shared" si="13"/>
        <v/>
      </c>
      <c r="F30" t="str">
        <f t="shared" si="14"/>
        <v/>
      </c>
      <c r="G30">
        <f t="shared" si="1"/>
        <v>3.1666666666666661</v>
      </c>
      <c r="H30">
        <f t="shared" si="2"/>
        <v>-2.2028985507254184E-3</v>
      </c>
      <c r="I30">
        <f t="shared" si="3"/>
        <v>6.335536231884058</v>
      </c>
      <c r="J30" t="str">
        <f t="shared" si="4"/>
        <v/>
      </c>
      <c r="K30" s="216" t="str">
        <f t="shared" si="5"/>
        <v/>
      </c>
      <c r="L30" s="216" t="str">
        <f t="shared" si="6"/>
        <v/>
      </c>
      <c r="M30" s="216">
        <f t="shared" si="7"/>
        <v>1</v>
      </c>
      <c r="N30" s="255" t="str">
        <f t="shared" si="8"/>
        <v/>
      </c>
      <c r="O30" s="255" t="str">
        <f t="shared" si="9"/>
        <v/>
      </c>
      <c r="P30" s="255" t="str">
        <f t="shared" si="10"/>
        <v/>
      </c>
      <c r="Q30" s="255" t="str">
        <f t="shared" si="11"/>
        <v/>
      </c>
      <c r="R30" s="255" t="e">
        <f t="shared" si="0"/>
        <v>#N/A</v>
      </c>
      <c r="AJ30" s="217">
        <v>42186</v>
      </c>
      <c r="AK30" s="218">
        <v>36.633251218723771</v>
      </c>
    </row>
    <row r="31" spans="1:42">
      <c r="A31" s="215"/>
      <c r="B31" s="215"/>
      <c r="D31" t="str">
        <f t="shared" si="12"/>
        <v/>
      </c>
      <c r="E31" t="str">
        <f t="shared" si="13"/>
        <v/>
      </c>
      <c r="F31" t="str">
        <f t="shared" si="14"/>
        <v/>
      </c>
      <c r="G31">
        <f t="shared" si="1"/>
        <v>3.1666666666666661</v>
      </c>
      <c r="H31">
        <f t="shared" si="2"/>
        <v>-2.2028985507254184E-3</v>
      </c>
      <c r="I31">
        <f t="shared" si="3"/>
        <v>6.335536231884058</v>
      </c>
      <c r="J31" t="str">
        <f t="shared" si="4"/>
        <v/>
      </c>
      <c r="K31" s="216" t="str">
        <f t="shared" si="5"/>
        <v/>
      </c>
      <c r="L31" s="216" t="str">
        <f t="shared" si="6"/>
        <v/>
      </c>
      <c r="M31" s="216">
        <f t="shared" si="7"/>
        <v>2</v>
      </c>
      <c r="N31" s="255" t="str">
        <f t="shared" si="8"/>
        <v/>
      </c>
      <c r="O31" s="255" t="str">
        <f t="shared" si="9"/>
        <v/>
      </c>
      <c r="P31" s="255" t="str">
        <f t="shared" si="10"/>
        <v/>
      </c>
      <c r="Q31" s="255" t="str">
        <f t="shared" si="11"/>
        <v/>
      </c>
      <c r="R31" s="255" t="e">
        <f t="shared" si="0"/>
        <v>#N/A</v>
      </c>
      <c r="AJ31" s="217">
        <v>42217</v>
      </c>
      <c r="AK31" s="218">
        <v>39.193759448517511</v>
      </c>
    </row>
    <row r="32" spans="1:42">
      <c r="A32" s="215"/>
      <c r="B32" s="215"/>
      <c r="D32" t="str">
        <f t="shared" si="12"/>
        <v/>
      </c>
      <c r="E32" t="str">
        <f t="shared" si="13"/>
        <v/>
      </c>
      <c r="F32" t="str">
        <f t="shared" si="14"/>
        <v/>
      </c>
      <c r="G32">
        <f t="shared" si="1"/>
        <v>3.1666666666666661</v>
      </c>
      <c r="H32">
        <f t="shared" si="2"/>
        <v>-2.2028985507254184E-3</v>
      </c>
      <c r="I32">
        <f t="shared" si="3"/>
        <v>6.335536231884058</v>
      </c>
      <c r="J32" t="str">
        <f t="shared" si="4"/>
        <v/>
      </c>
      <c r="K32" s="216" t="str">
        <f t="shared" si="5"/>
        <v/>
      </c>
      <c r="L32" s="216" t="str">
        <f t="shared" si="6"/>
        <v/>
      </c>
      <c r="M32" s="216">
        <f t="shared" si="7"/>
        <v>3</v>
      </c>
      <c r="N32" s="255" t="str">
        <f t="shared" si="8"/>
        <v/>
      </c>
      <c r="O32" s="255" t="str">
        <f t="shared" si="9"/>
        <v/>
      </c>
      <c r="P32" s="255" t="str">
        <f t="shared" si="10"/>
        <v/>
      </c>
      <c r="Q32" s="255" t="str">
        <f t="shared" si="11"/>
        <v/>
      </c>
      <c r="R32" s="255" t="e">
        <f t="shared" si="0"/>
        <v>#N/A</v>
      </c>
      <c r="AJ32" s="217">
        <v>42248</v>
      </c>
      <c r="AK32" s="218">
        <v>53.887605172262106</v>
      </c>
    </row>
    <row r="33" spans="1:37">
      <c r="A33" s="215"/>
      <c r="B33" s="215"/>
      <c r="D33" t="str">
        <f t="shared" si="12"/>
        <v/>
      </c>
      <c r="E33" t="str">
        <f t="shared" si="13"/>
        <v/>
      </c>
      <c r="F33" t="str">
        <f t="shared" si="14"/>
        <v/>
      </c>
      <c r="G33">
        <f t="shared" si="1"/>
        <v>3.1666666666666661</v>
      </c>
      <c r="H33">
        <f t="shared" si="2"/>
        <v>-2.2028985507254184E-3</v>
      </c>
      <c r="I33">
        <f t="shared" si="3"/>
        <v>6.335536231884058</v>
      </c>
      <c r="J33" t="str">
        <f t="shared" si="4"/>
        <v/>
      </c>
      <c r="K33" s="216" t="str">
        <f t="shared" si="5"/>
        <v/>
      </c>
      <c r="L33" s="216" t="str">
        <f t="shared" si="6"/>
        <v/>
      </c>
      <c r="M33" s="216">
        <f t="shared" si="7"/>
        <v>4</v>
      </c>
      <c r="N33" s="255" t="str">
        <f t="shared" si="8"/>
        <v/>
      </c>
      <c r="O33" s="255" t="str">
        <f t="shared" si="9"/>
        <v/>
      </c>
      <c r="P33" s="255" t="str">
        <f t="shared" si="10"/>
        <v/>
      </c>
      <c r="Q33" s="255" t="str">
        <f t="shared" si="11"/>
        <v/>
      </c>
      <c r="R33" s="255" t="e">
        <f t="shared" si="0"/>
        <v>#N/A</v>
      </c>
      <c r="AJ33" s="217">
        <v>42278</v>
      </c>
      <c r="AK33" s="218">
        <v>29.315682091870489</v>
      </c>
    </row>
    <row r="34" spans="1:37">
      <c r="A34" s="215"/>
      <c r="B34" s="215"/>
      <c r="D34" t="str">
        <f t="shared" si="12"/>
        <v/>
      </c>
      <c r="E34" t="str">
        <f t="shared" si="13"/>
        <v/>
      </c>
      <c r="F34" t="str">
        <f t="shared" si="14"/>
        <v/>
      </c>
      <c r="G34">
        <f t="shared" si="1"/>
        <v>3.1666666666666661</v>
      </c>
      <c r="H34">
        <f t="shared" si="2"/>
        <v>-2.2028985507254184E-3</v>
      </c>
      <c r="I34">
        <f t="shared" si="3"/>
        <v>6.335536231884058</v>
      </c>
      <c r="J34" t="str">
        <f t="shared" si="4"/>
        <v/>
      </c>
      <c r="K34" s="216" t="str">
        <f t="shared" si="5"/>
        <v/>
      </c>
      <c r="L34" s="216" t="str">
        <f t="shared" si="6"/>
        <v/>
      </c>
      <c r="M34" s="216">
        <f t="shared" si="7"/>
        <v>5</v>
      </c>
      <c r="N34" s="255" t="str">
        <f t="shared" si="8"/>
        <v/>
      </c>
      <c r="O34" s="255" t="str">
        <f t="shared" si="9"/>
        <v/>
      </c>
      <c r="P34" s="255" t="str">
        <f t="shared" si="10"/>
        <v/>
      </c>
      <c r="Q34" s="255" t="str">
        <f t="shared" si="11"/>
        <v/>
      </c>
      <c r="R34" s="255" t="e">
        <f t="shared" si="0"/>
        <v>#N/A</v>
      </c>
      <c r="AJ34" s="217">
        <v>42309</v>
      </c>
      <c r="AK34" s="218">
        <v>41.644499221438991</v>
      </c>
    </row>
    <row r="35" spans="1:37">
      <c r="A35" s="215"/>
      <c r="B35" s="215"/>
      <c r="D35" t="str">
        <f t="shared" si="12"/>
        <v/>
      </c>
      <c r="E35" t="str">
        <f t="shared" si="13"/>
        <v/>
      </c>
      <c r="F35" t="str">
        <f t="shared" si="14"/>
        <v/>
      </c>
      <c r="G35">
        <f t="shared" si="1"/>
        <v>3.1666666666666661</v>
      </c>
      <c r="H35">
        <f t="shared" si="2"/>
        <v>-2.2028985507254184E-3</v>
      </c>
      <c r="I35">
        <f t="shared" si="3"/>
        <v>6.335536231884058</v>
      </c>
      <c r="J35" t="str">
        <f t="shared" si="4"/>
        <v/>
      </c>
      <c r="K35" s="216" t="str">
        <f t="shared" si="5"/>
        <v/>
      </c>
      <c r="L35" s="216" t="str">
        <f t="shared" si="6"/>
        <v/>
      </c>
      <c r="M35" s="216">
        <f t="shared" si="7"/>
        <v>6</v>
      </c>
      <c r="N35" s="255" t="str">
        <f t="shared" si="8"/>
        <v/>
      </c>
      <c r="O35" s="255" t="str">
        <f t="shared" si="9"/>
        <v/>
      </c>
      <c r="P35" s="255" t="str">
        <f t="shared" si="10"/>
        <v/>
      </c>
      <c r="Q35" s="255" t="str">
        <f t="shared" si="11"/>
        <v/>
      </c>
      <c r="R35" s="255" t="e">
        <f t="shared" si="0"/>
        <v>#N/A</v>
      </c>
      <c r="AJ35" s="217">
        <v>42339</v>
      </c>
      <c r="AK35" s="218">
        <v>39.010080186731692</v>
      </c>
    </row>
    <row r="36" spans="1:37">
      <c r="A36" s="215"/>
      <c r="B36" s="215"/>
      <c r="D36" t="str">
        <f t="shared" si="12"/>
        <v/>
      </c>
      <c r="E36" t="str">
        <f t="shared" si="13"/>
        <v/>
      </c>
      <c r="F36" t="str">
        <f t="shared" si="14"/>
        <v/>
      </c>
      <c r="G36">
        <f t="shared" si="1"/>
        <v>3.1666666666666661</v>
      </c>
      <c r="H36">
        <f t="shared" si="2"/>
        <v>-2.2028985507254184E-3</v>
      </c>
      <c r="I36">
        <f t="shared" si="3"/>
        <v>6.335536231884058</v>
      </c>
      <c r="J36" t="str">
        <f t="shared" si="4"/>
        <v/>
      </c>
      <c r="K36" s="216" t="str">
        <f t="shared" si="5"/>
        <v/>
      </c>
      <c r="L36" s="216" t="str">
        <f t="shared" si="6"/>
        <v/>
      </c>
      <c r="M36" s="216">
        <f t="shared" si="7"/>
        <v>7</v>
      </c>
      <c r="N36" s="255" t="str">
        <f t="shared" si="8"/>
        <v/>
      </c>
      <c r="O36" s="255" t="str">
        <f t="shared" si="9"/>
        <v/>
      </c>
      <c r="P36" s="255" t="str">
        <f t="shared" si="10"/>
        <v/>
      </c>
      <c r="Q36" s="255" t="str">
        <f t="shared" si="11"/>
        <v/>
      </c>
      <c r="R36" s="255" t="e">
        <f t="shared" si="0"/>
        <v>#N/A</v>
      </c>
      <c r="AJ36" s="217">
        <v>42370</v>
      </c>
      <c r="AK36" s="218">
        <v>69.871711703096111</v>
      </c>
    </row>
    <row r="37" spans="1:37">
      <c r="A37" s="215"/>
      <c r="B37" s="215"/>
      <c r="D37" t="str">
        <f t="shared" si="12"/>
        <v/>
      </c>
      <c r="E37" t="str">
        <f t="shared" si="13"/>
        <v/>
      </c>
      <c r="F37" t="str">
        <f t="shared" si="14"/>
        <v/>
      </c>
      <c r="G37">
        <f t="shared" si="1"/>
        <v>3.1666666666666661</v>
      </c>
      <c r="H37">
        <f t="shared" si="2"/>
        <v>-2.2028985507254184E-3</v>
      </c>
      <c r="I37">
        <f t="shared" si="3"/>
        <v>6.335536231884058</v>
      </c>
      <c r="J37" t="str">
        <f t="shared" si="4"/>
        <v/>
      </c>
      <c r="K37" s="216" t="str">
        <f t="shared" si="5"/>
        <v/>
      </c>
      <c r="L37" s="216" t="str">
        <f t="shared" si="6"/>
        <v/>
      </c>
      <c r="M37" s="216">
        <f t="shared" si="7"/>
        <v>8</v>
      </c>
      <c r="N37" s="255" t="str">
        <f t="shared" si="8"/>
        <v/>
      </c>
      <c r="O37" s="255" t="str">
        <f t="shared" si="9"/>
        <v/>
      </c>
      <c r="P37" s="255" t="str">
        <f t="shared" si="10"/>
        <v/>
      </c>
      <c r="Q37" s="255" t="str">
        <f t="shared" si="11"/>
        <v/>
      </c>
      <c r="R37" s="255" t="e">
        <f t="shared" si="0"/>
        <v>#N/A</v>
      </c>
      <c r="AJ37" s="217">
        <v>42401</v>
      </c>
      <c r="AK37" s="218">
        <v>77.741411066984725</v>
      </c>
    </row>
    <row r="38" spans="1:37">
      <c r="A38" s="215"/>
      <c r="B38" s="215"/>
      <c r="D38" t="str">
        <f t="shared" si="12"/>
        <v/>
      </c>
      <c r="E38" t="str">
        <f t="shared" si="13"/>
        <v/>
      </c>
      <c r="F38" t="str">
        <f t="shared" si="14"/>
        <v/>
      </c>
      <c r="G38">
        <f t="shared" si="1"/>
        <v>3.1666666666666661</v>
      </c>
      <c r="H38">
        <f t="shared" si="2"/>
        <v>-2.2028985507254184E-3</v>
      </c>
      <c r="I38">
        <f t="shared" si="3"/>
        <v>6.335536231884058</v>
      </c>
      <c r="J38" t="str">
        <f t="shared" si="4"/>
        <v/>
      </c>
      <c r="K38" s="216" t="str">
        <f t="shared" si="5"/>
        <v/>
      </c>
      <c r="L38" s="216" t="str">
        <f t="shared" si="6"/>
        <v/>
      </c>
      <c r="M38" s="216">
        <f t="shared" si="7"/>
        <v>9</v>
      </c>
      <c r="N38" s="255" t="str">
        <f t="shared" si="8"/>
        <v/>
      </c>
      <c r="O38" s="255" t="str">
        <f t="shared" si="9"/>
        <v/>
      </c>
      <c r="P38" s="255" t="str">
        <f t="shared" si="10"/>
        <v/>
      </c>
      <c r="Q38" s="255" t="str">
        <f t="shared" si="11"/>
        <v/>
      </c>
      <c r="R38" s="255" t="e">
        <f t="shared" ref="R38:R69" si="15">IF(COUNT(N38:Q38)&gt;0,B38,NA())</f>
        <v>#N/A</v>
      </c>
      <c r="AJ38" s="217">
        <v>42430</v>
      </c>
      <c r="AK38" s="218">
        <v>53.359376711723705</v>
      </c>
    </row>
    <row r="39" spans="1:37">
      <c r="A39" s="215"/>
      <c r="B39" s="215"/>
      <c r="D39" t="str">
        <f t="shared" si="12"/>
        <v/>
      </c>
      <c r="E39" t="str">
        <f t="shared" si="13"/>
        <v/>
      </c>
      <c r="F39" t="str">
        <f t="shared" si="14"/>
        <v/>
      </c>
      <c r="G39">
        <f t="shared" si="1"/>
        <v>3.1666666666666661</v>
      </c>
      <c r="H39">
        <f t="shared" si="2"/>
        <v>-2.2028985507254184E-3</v>
      </c>
      <c r="I39">
        <f t="shared" si="3"/>
        <v>6.335536231884058</v>
      </c>
      <c r="J39" t="str">
        <f t="shared" si="4"/>
        <v/>
      </c>
      <c r="K39" s="216" t="str">
        <f t="shared" si="5"/>
        <v/>
      </c>
      <c r="L39" s="216" t="str">
        <f t="shared" si="6"/>
        <v/>
      </c>
      <c r="M39" s="216">
        <f t="shared" si="7"/>
        <v>10</v>
      </c>
      <c r="N39" s="255" t="str">
        <f t="shared" si="8"/>
        <v/>
      </c>
      <c r="O39" s="255" t="str">
        <f t="shared" si="9"/>
        <v/>
      </c>
      <c r="P39" s="255" t="str">
        <f t="shared" si="10"/>
        <v/>
      </c>
      <c r="Q39" s="255" t="str">
        <f t="shared" si="11"/>
        <v/>
      </c>
      <c r="R39" s="255" t="e">
        <f t="shared" si="15"/>
        <v>#N/A</v>
      </c>
      <c r="AJ39" s="217">
        <v>42461</v>
      </c>
      <c r="AK39" s="218">
        <v>39.80089298946929</v>
      </c>
    </row>
    <row r="40" spans="1:37">
      <c r="A40" s="215"/>
      <c r="B40" s="215"/>
      <c r="D40" t="str">
        <f t="shared" si="12"/>
        <v/>
      </c>
      <c r="E40" t="str">
        <f t="shared" si="13"/>
        <v/>
      </c>
      <c r="F40" t="str">
        <f t="shared" si="14"/>
        <v/>
      </c>
      <c r="G40">
        <f t="shared" si="1"/>
        <v>3.1666666666666661</v>
      </c>
      <c r="H40">
        <f t="shared" si="2"/>
        <v>-2.2028985507254184E-3</v>
      </c>
      <c r="I40">
        <f t="shared" si="3"/>
        <v>6.335536231884058</v>
      </c>
      <c r="J40" t="str">
        <f t="shared" si="4"/>
        <v/>
      </c>
      <c r="K40" s="216" t="str">
        <f t="shared" si="5"/>
        <v/>
      </c>
      <c r="L40" s="216" t="str">
        <f t="shared" si="6"/>
        <v/>
      </c>
      <c r="M40" s="216">
        <f t="shared" si="7"/>
        <v>11</v>
      </c>
      <c r="N40" s="255" t="str">
        <f t="shared" si="8"/>
        <v/>
      </c>
      <c r="O40" s="255" t="str">
        <f t="shared" si="9"/>
        <v/>
      </c>
      <c r="P40" s="255" t="str">
        <f t="shared" si="10"/>
        <v/>
      </c>
      <c r="Q40" s="255" t="str">
        <f t="shared" si="11"/>
        <v/>
      </c>
      <c r="R40" s="255" t="e">
        <f t="shared" si="15"/>
        <v>#N/A</v>
      </c>
      <c r="AJ40" s="217">
        <v>42491</v>
      </c>
      <c r="AK40" s="218">
        <v>58.594436194423913</v>
      </c>
    </row>
    <row r="41" spans="1:37">
      <c r="A41" s="215"/>
      <c r="B41" s="215"/>
      <c r="D41" t="str">
        <f t="shared" si="12"/>
        <v/>
      </c>
      <c r="E41" t="str">
        <f t="shared" si="13"/>
        <v/>
      </c>
      <c r="F41" t="str">
        <f t="shared" si="14"/>
        <v/>
      </c>
      <c r="G41">
        <f t="shared" si="1"/>
        <v>3.1666666666666661</v>
      </c>
      <c r="H41">
        <f t="shared" si="2"/>
        <v>-2.2028985507254184E-3</v>
      </c>
      <c r="I41">
        <f t="shared" si="3"/>
        <v>6.335536231884058</v>
      </c>
      <c r="J41" t="str">
        <f t="shared" si="4"/>
        <v/>
      </c>
      <c r="K41" s="216" t="str">
        <f t="shared" si="5"/>
        <v/>
      </c>
      <c r="L41" s="216" t="str">
        <f t="shared" si="6"/>
        <v/>
      </c>
      <c r="M41" s="216">
        <f t="shared" si="7"/>
        <v>12</v>
      </c>
      <c r="N41" s="255" t="str">
        <f t="shared" si="8"/>
        <v/>
      </c>
      <c r="O41" s="255" t="str">
        <f t="shared" si="9"/>
        <v/>
      </c>
      <c r="P41" s="255" t="str">
        <f t="shared" si="10"/>
        <v/>
      </c>
      <c r="Q41" s="255" t="str">
        <f t="shared" si="11"/>
        <v/>
      </c>
      <c r="R41" s="255" t="e">
        <f t="shared" si="15"/>
        <v>#N/A</v>
      </c>
      <c r="AJ41" s="217">
        <v>42522</v>
      </c>
      <c r="AK41" s="218">
        <v>63.290740035103056</v>
      </c>
    </row>
    <row r="42" spans="1:37">
      <c r="A42" s="215"/>
      <c r="B42" s="215"/>
      <c r="D42" t="str">
        <f t="shared" si="12"/>
        <v/>
      </c>
      <c r="E42" t="str">
        <f t="shared" si="13"/>
        <v/>
      </c>
      <c r="F42" t="str">
        <f t="shared" si="14"/>
        <v/>
      </c>
      <c r="G42">
        <f t="shared" si="1"/>
        <v>3.1666666666666661</v>
      </c>
      <c r="H42">
        <f t="shared" si="2"/>
        <v>-2.2028985507254184E-3</v>
      </c>
      <c r="I42">
        <f t="shared" si="3"/>
        <v>6.335536231884058</v>
      </c>
      <c r="J42" t="str">
        <f t="shared" si="4"/>
        <v/>
      </c>
      <c r="K42" s="216" t="str">
        <f t="shared" si="5"/>
        <v/>
      </c>
      <c r="L42" s="216" t="str">
        <f t="shared" si="6"/>
        <v/>
      </c>
      <c r="M42" s="216">
        <f t="shared" si="7"/>
        <v>13</v>
      </c>
      <c r="N42" s="255" t="str">
        <f t="shared" si="8"/>
        <v/>
      </c>
      <c r="O42" s="255" t="str">
        <f t="shared" si="9"/>
        <v/>
      </c>
      <c r="P42" s="255" t="str">
        <f t="shared" si="10"/>
        <v/>
      </c>
      <c r="Q42" s="255" t="str">
        <f t="shared" si="11"/>
        <v/>
      </c>
      <c r="R42" s="255" t="e">
        <f t="shared" si="15"/>
        <v>#N/A</v>
      </c>
      <c r="AJ42" s="217">
        <v>42552</v>
      </c>
      <c r="AK42" s="218">
        <v>49.088556633089851</v>
      </c>
    </row>
    <row r="43" spans="1:37">
      <c r="A43" s="215"/>
      <c r="B43" s="215"/>
      <c r="D43" t="str">
        <f t="shared" si="12"/>
        <v/>
      </c>
      <c r="E43" t="str">
        <f t="shared" si="13"/>
        <v/>
      </c>
      <c r="F43" t="str">
        <f t="shared" si="14"/>
        <v/>
      </c>
      <c r="G43">
        <f t="shared" si="1"/>
        <v>3.1666666666666661</v>
      </c>
      <c r="H43">
        <f t="shared" si="2"/>
        <v>-2.2028985507254184E-3</v>
      </c>
      <c r="I43">
        <f t="shared" si="3"/>
        <v>6.335536231884058</v>
      </c>
      <c r="J43" t="str">
        <f t="shared" si="4"/>
        <v/>
      </c>
      <c r="K43" s="216" t="str">
        <f t="shared" si="5"/>
        <v/>
      </c>
      <c r="L43" s="216" t="str">
        <f t="shared" si="6"/>
        <v/>
      </c>
      <c r="M43" s="216">
        <f t="shared" si="7"/>
        <v>14</v>
      </c>
      <c r="N43" s="255" t="str">
        <f t="shared" si="8"/>
        <v/>
      </c>
      <c r="O43" s="255" t="str">
        <f t="shared" si="9"/>
        <v/>
      </c>
      <c r="P43" s="255" t="str">
        <f t="shared" si="10"/>
        <v/>
      </c>
      <c r="Q43" s="255" t="str">
        <f t="shared" si="11"/>
        <v/>
      </c>
      <c r="R43" s="255" t="e">
        <f t="shared" si="15"/>
        <v>#N/A</v>
      </c>
      <c r="AJ43" s="217">
        <v>42583</v>
      </c>
      <c r="AK43" s="218">
        <v>72.116517385272218</v>
      </c>
    </row>
    <row r="44" spans="1:37">
      <c r="A44" s="215"/>
      <c r="B44" s="215"/>
      <c r="D44" t="str">
        <f t="shared" si="12"/>
        <v/>
      </c>
      <c r="E44" t="str">
        <f t="shared" si="13"/>
        <v/>
      </c>
      <c r="F44" t="str">
        <f t="shared" si="14"/>
        <v/>
      </c>
      <c r="G44">
        <f t="shared" si="1"/>
        <v>3.1666666666666661</v>
      </c>
      <c r="H44">
        <f t="shared" si="2"/>
        <v>-2.2028985507254184E-3</v>
      </c>
      <c r="I44">
        <f t="shared" si="3"/>
        <v>6.335536231884058</v>
      </c>
      <c r="J44" t="str">
        <f t="shared" si="4"/>
        <v/>
      </c>
      <c r="K44" s="216" t="str">
        <f t="shared" si="5"/>
        <v/>
      </c>
      <c r="L44" s="216" t="str">
        <f t="shared" si="6"/>
        <v/>
      </c>
      <c r="M44" s="216">
        <f t="shared" si="7"/>
        <v>15</v>
      </c>
      <c r="N44" s="255" t="str">
        <f t="shared" si="8"/>
        <v/>
      </c>
      <c r="O44" s="255" t="str">
        <f t="shared" si="9"/>
        <v/>
      </c>
      <c r="P44" s="255" t="str">
        <f t="shared" si="10"/>
        <v/>
      </c>
      <c r="Q44" s="255" t="str">
        <f t="shared" si="11"/>
        <v/>
      </c>
      <c r="R44" s="255" t="e">
        <f t="shared" si="15"/>
        <v>#N/A</v>
      </c>
    </row>
    <row r="45" spans="1:37">
      <c r="A45" s="215"/>
      <c r="B45" s="215"/>
      <c r="D45" t="str">
        <f t="shared" si="12"/>
        <v/>
      </c>
      <c r="E45" t="str">
        <f t="shared" si="13"/>
        <v/>
      </c>
      <c r="F45" t="str">
        <f t="shared" si="14"/>
        <v/>
      </c>
      <c r="G45">
        <f t="shared" si="1"/>
        <v>3.1666666666666661</v>
      </c>
      <c r="H45">
        <f t="shared" si="2"/>
        <v>-2.2028985507254184E-3</v>
      </c>
      <c r="I45">
        <f t="shared" si="3"/>
        <v>6.335536231884058</v>
      </c>
      <c r="J45" t="str">
        <f t="shared" si="4"/>
        <v/>
      </c>
      <c r="K45" s="216" t="str">
        <f t="shared" si="5"/>
        <v/>
      </c>
      <c r="L45" s="216" t="str">
        <f t="shared" si="6"/>
        <v/>
      </c>
      <c r="M45" s="216">
        <f t="shared" si="7"/>
        <v>16</v>
      </c>
      <c r="N45" s="255" t="str">
        <f t="shared" si="8"/>
        <v/>
      </c>
      <c r="O45" s="255" t="str">
        <f t="shared" si="9"/>
        <v/>
      </c>
      <c r="P45" s="255" t="str">
        <f t="shared" si="10"/>
        <v/>
      </c>
      <c r="Q45" s="255" t="str">
        <f t="shared" si="11"/>
        <v/>
      </c>
      <c r="R45" s="255" t="e">
        <f t="shared" si="15"/>
        <v>#N/A</v>
      </c>
    </row>
    <row r="46" spans="1:37">
      <c r="A46" s="215"/>
      <c r="B46" s="215"/>
      <c r="D46" t="str">
        <f t="shared" si="12"/>
        <v/>
      </c>
      <c r="E46" t="str">
        <f t="shared" si="13"/>
        <v/>
      </c>
      <c r="F46" t="str">
        <f t="shared" si="14"/>
        <v/>
      </c>
      <c r="G46">
        <f t="shared" si="1"/>
        <v>3.1666666666666661</v>
      </c>
      <c r="H46">
        <f t="shared" si="2"/>
        <v>-2.2028985507254184E-3</v>
      </c>
      <c r="I46">
        <f t="shared" si="3"/>
        <v>6.335536231884058</v>
      </c>
      <c r="J46" t="str">
        <f t="shared" si="4"/>
        <v/>
      </c>
      <c r="K46" s="216" t="str">
        <f t="shared" si="5"/>
        <v/>
      </c>
      <c r="L46" s="216" t="str">
        <f t="shared" si="6"/>
        <v/>
      </c>
      <c r="M46" s="216">
        <f t="shared" si="7"/>
        <v>17</v>
      </c>
      <c r="N46" s="255" t="str">
        <f t="shared" si="8"/>
        <v/>
      </c>
      <c r="O46" s="255" t="str">
        <f t="shared" si="9"/>
        <v/>
      </c>
      <c r="P46" s="255" t="str">
        <f t="shared" si="10"/>
        <v/>
      </c>
      <c r="Q46" s="255" t="str">
        <f t="shared" si="11"/>
        <v/>
      </c>
      <c r="R46" s="255" t="e">
        <f t="shared" si="15"/>
        <v>#N/A</v>
      </c>
    </row>
    <row r="47" spans="1:37">
      <c r="A47" s="215"/>
      <c r="B47" s="215"/>
      <c r="D47" t="str">
        <f t="shared" si="12"/>
        <v/>
      </c>
      <c r="E47" t="str">
        <f t="shared" si="13"/>
        <v/>
      </c>
      <c r="F47" t="str">
        <f t="shared" si="14"/>
        <v/>
      </c>
      <c r="G47">
        <f t="shared" si="1"/>
        <v>3.1666666666666661</v>
      </c>
      <c r="H47">
        <f t="shared" si="2"/>
        <v>-2.2028985507254184E-3</v>
      </c>
      <c r="I47">
        <f t="shared" si="3"/>
        <v>6.335536231884058</v>
      </c>
      <c r="J47" t="str">
        <f t="shared" si="4"/>
        <v/>
      </c>
      <c r="K47" s="216" t="str">
        <f t="shared" si="5"/>
        <v/>
      </c>
      <c r="L47" s="216" t="str">
        <f t="shared" si="6"/>
        <v/>
      </c>
      <c r="M47" s="216">
        <f t="shared" si="7"/>
        <v>18</v>
      </c>
      <c r="N47" s="255" t="str">
        <f t="shared" si="8"/>
        <v/>
      </c>
      <c r="O47" s="255" t="str">
        <f t="shared" si="9"/>
        <v/>
      </c>
      <c r="P47" s="255" t="str">
        <f t="shared" si="10"/>
        <v/>
      </c>
      <c r="Q47" s="255" t="str">
        <f t="shared" si="11"/>
        <v/>
      </c>
      <c r="R47" s="255" t="e">
        <f t="shared" si="15"/>
        <v>#N/A</v>
      </c>
    </row>
    <row r="48" spans="1:37">
      <c r="A48" s="215"/>
      <c r="B48" s="215"/>
      <c r="D48" t="str">
        <f t="shared" si="12"/>
        <v/>
      </c>
      <c r="E48" t="str">
        <f t="shared" si="13"/>
        <v/>
      </c>
      <c r="F48" t="str">
        <f t="shared" si="14"/>
        <v/>
      </c>
      <c r="G48">
        <f t="shared" si="1"/>
        <v>3.1666666666666661</v>
      </c>
      <c r="H48">
        <f t="shared" si="2"/>
        <v>-2.2028985507254184E-3</v>
      </c>
      <c r="I48">
        <f t="shared" si="3"/>
        <v>6.335536231884058</v>
      </c>
      <c r="J48" t="str">
        <f t="shared" si="4"/>
        <v/>
      </c>
      <c r="K48" s="216" t="str">
        <f t="shared" si="5"/>
        <v/>
      </c>
      <c r="L48" s="216" t="str">
        <f t="shared" si="6"/>
        <v/>
      </c>
      <c r="M48" s="216">
        <f t="shared" si="7"/>
        <v>19</v>
      </c>
      <c r="N48" s="255" t="str">
        <f t="shared" si="8"/>
        <v/>
      </c>
      <c r="O48" s="255" t="str">
        <f t="shared" si="9"/>
        <v/>
      </c>
      <c r="P48" s="255" t="str">
        <f t="shared" si="10"/>
        <v/>
      </c>
      <c r="Q48" s="255" t="str">
        <f t="shared" si="11"/>
        <v/>
      </c>
      <c r="R48" s="255" t="e">
        <f t="shared" si="15"/>
        <v>#N/A</v>
      </c>
    </row>
    <row r="49" spans="1:18">
      <c r="A49" s="215"/>
      <c r="B49" s="215"/>
      <c r="D49" t="str">
        <f t="shared" si="12"/>
        <v/>
      </c>
      <c r="E49" t="str">
        <f t="shared" si="13"/>
        <v/>
      </c>
      <c r="F49" t="str">
        <f t="shared" si="14"/>
        <v/>
      </c>
      <c r="G49">
        <f t="shared" si="1"/>
        <v>3.1666666666666661</v>
      </c>
      <c r="H49">
        <f t="shared" si="2"/>
        <v>-2.2028985507254184E-3</v>
      </c>
      <c r="I49">
        <f t="shared" si="3"/>
        <v>6.335536231884058</v>
      </c>
      <c r="J49" t="str">
        <f t="shared" si="4"/>
        <v/>
      </c>
      <c r="K49" s="216" t="str">
        <f t="shared" si="5"/>
        <v/>
      </c>
      <c r="L49" s="216" t="str">
        <f t="shared" si="6"/>
        <v/>
      </c>
      <c r="M49" s="216">
        <f t="shared" si="7"/>
        <v>20</v>
      </c>
      <c r="N49" s="255" t="str">
        <f t="shared" si="8"/>
        <v/>
      </c>
      <c r="O49" s="255" t="str">
        <f t="shared" si="9"/>
        <v/>
      </c>
      <c r="P49" s="255" t="str">
        <f t="shared" si="10"/>
        <v/>
      </c>
      <c r="Q49" s="255" t="str">
        <f t="shared" si="11"/>
        <v/>
      </c>
      <c r="R49" s="255" t="e">
        <f t="shared" si="15"/>
        <v>#N/A</v>
      </c>
    </row>
    <row r="50" spans="1:18">
      <c r="A50" s="215"/>
      <c r="B50" s="215"/>
      <c r="D50" t="str">
        <f t="shared" si="12"/>
        <v/>
      </c>
      <c r="E50" t="str">
        <f t="shared" si="13"/>
        <v/>
      </c>
      <c r="F50" t="str">
        <f t="shared" si="14"/>
        <v/>
      </c>
      <c r="G50">
        <f t="shared" si="1"/>
        <v>3.1666666666666661</v>
      </c>
      <c r="H50">
        <f t="shared" si="2"/>
        <v>-2.2028985507254184E-3</v>
      </c>
      <c r="I50">
        <f t="shared" si="3"/>
        <v>6.335536231884058</v>
      </c>
      <c r="J50" t="str">
        <f t="shared" si="4"/>
        <v/>
      </c>
      <c r="K50" s="216" t="str">
        <f t="shared" si="5"/>
        <v/>
      </c>
      <c r="L50" s="216" t="str">
        <f t="shared" si="6"/>
        <v/>
      </c>
      <c r="M50" s="216">
        <f t="shared" si="7"/>
        <v>21</v>
      </c>
      <c r="N50" s="255" t="str">
        <f t="shared" si="8"/>
        <v/>
      </c>
      <c r="O50" s="255" t="str">
        <f t="shared" si="9"/>
        <v/>
      </c>
      <c r="P50" s="255" t="str">
        <f t="shared" si="10"/>
        <v/>
      </c>
      <c r="Q50" s="255" t="str">
        <f t="shared" si="11"/>
        <v/>
      </c>
      <c r="R50" s="255" t="e">
        <f t="shared" si="15"/>
        <v>#N/A</v>
      </c>
    </row>
    <row r="51" spans="1:18">
      <c r="A51" s="215"/>
      <c r="B51" s="215"/>
      <c r="D51" t="str">
        <f t="shared" si="12"/>
        <v/>
      </c>
      <c r="E51" t="str">
        <f t="shared" si="13"/>
        <v/>
      </c>
      <c r="F51" t="str">
        <f t="shared" si="14"/>
        <v/>
      </c>
      <c r="G51">
        <f t="shared" si="1"/>
        <v>3.1666666666666661</v>
      </c>
      <c r="H51">
        <f t="shared" si="2"/>
        <v>-2.2028985507254184E-3</v>
      </c>
      <c r="I51">
        <f t="shared" si="3"/>
        <v>6.335536231884058</v>
      </c>
      <c r="J51" t="str">
        <f t="shared" si="4"/>
        <v/>
      </c>
      <c r="K51" s="216" t="str">
        <f t="shared" si="5"/>
        <v/>
      </c>
      <c r="L51" s="216" t="str">
        <f t="shared" si="6"/>
        <v/>
      </c>
      <c r="M51" s="216">
        <f t="shared" si="7"/>
        <v>22</v>
      </c>
      <c r="N51" s="255" t="str">
        <f t="shared" si="8"/>
        <v/>
      </c>
      <c r="O51" s="255" t="str">
        <f t="shared" si="9"/>
        <v/>
      </c>
      <c r="P51" s="255" t="str">
        <f t="shared" si="10"/>
        <v/>
      </c>
      <c r="Q51" s="255" t="str">
        <f t="shared" si="11"/>
        <v/>
      </c>
      <c r="R51" s="255" t="e">
        <f t="shared" si="15"/>
        <v>#N/A</v>
      </c>
    </row>
    <row r="52" spans="1:18">
      <c r="A52" s="215"/>
      <c r="B52" s="215"/>
      <c r="D52" t="str">
        <f t="shared" si="12"/>
        <v/>
      </c>
      <c r="E52" t="str">
        <f t="shared" si="13"/>
        <v/>
      </c>
      <c r="F52" t="str">
        <f t="shared" si="14"/>
        <v/>
      </c>
      <c r="G52">
        <f t="shared" si="1"/>
        <v>3.1666666666666661</v>
      </c>
      <c r="H52">
        <f t="shared" si="2"/>
        <v>-2.2028985507254184E-3</v>
      </c>
      <c r="I52">
        <f t="shared" si="3"/>
        <v>6.335536231884058</v>
      </c>
      <c r="J52" t="str">
        <f t="shared" si="4"/>
        <v/>
      </c>
      <c r="K52" s="216" t="str">
        <f t="shared" si="5"/>
        <v/>
      </c>
      <c r="L52" s="216" t="str">
        <f t="shared" si="6"/>
        <v/>
      </c>
      <c r="M52" s="216">
        <f t="shared" si="7"/>
        <v>23</v>
      </c>
      <c r="N52" s="255" t="str">
        <f t="shared" si="8"/>
        <v/>
      </c>
      <c r="O52" s="255" t="str">
        <f t="shared" si="9"/>
        <v/>
      </c>
      <c r="P52" s="255" t="str">
        <f t="shared" si="10"/>
        <v/>
      </c>
      <c r="Q52" s="255" t="str">
        <f t="shared" si="11"/>
        <v/>
      </c>
      <c r="R52" s="255" t="e">
        <f t="shared" si="15"/>
        <v>#N/A</v>
      </c>
    </row>
    <row r="53" spans="1:18">
      <c r="A53" s="215"/>
      <c r="B53" s="215"/>
      <c r="D53" t="str">
        <f t="shared" si="12"/>
        <v/>
      </c>
      <c r="E53" t="str">
        <f t="shared" si="13"/>
        <v/>
      </c>
      <c r="F53" t="str">
        <f t="shared" si="14"/>
        <v/>
      </c>
      <c r="G53">
        <f t="shared" si="1"/>
        <v>3.1666666666666661</v>
      </c>
      <c r="H53">
        <f t="shared" si="2"/>
        <v>-2.2028985507254184E-3</v>
      </c>
      <c r="I53">
        <f t="shared" si="3"/>
        <v>6.335536231884058</v>
      </c>
      <c r="J53" t="str">
        <f t="shared" si="4"/>
        <v/>
      </c>
      <c r="K53" s="216" t="str">
        <f t="shared" si="5"/>
        <v/>
      </c>
      <c r="L53" s="216" t="str">
        <f t="shared" si="6"/>
        <v/>
      </c>
      <c r="M53" s="216">
        <f t="shared" si="7"/>
        <v>24</v>
      </c>
      <c r="N53" s="255" t="str">
        <f t="shared" si="8"/>
        <v/>
      </c>
      <c r="O53" s="255" t="str">
        <f t="shared" si="9"/>
        <v/>
      </c>
      <c r="P53" s="255" t="str">
        <f t="shared" si="10"/>
        <v/>
      </c>
      <c r="Q53" s="255" t="str">
        <f t="shared" si="11"/>
        <v/>
      </c>
      <c r="R53" s="255" t="e">
        <f t="shared" si="15"/>
        <v>#N/A</v>
      </c>
    </row>
    <row r="54" spans="1:18">
      <c r="A54" s="215"/>
      <c r="B54" s="215"/>
      <c r="D54" t="str">
        <f t="shared" si="12"/>
        <v/>
      </c>
      <c r="E54" t="str">
        <f t="shared" si="13"/>
        <v/>
      </c>
      <c r="F54" t="str">
        <f t="shared" si="14"/>
        <v/>
      </c>
      <c r="G54">
        <f t="shared" si="1"/>
        <v>3.1666666666666661</v>
      </c>
      <c r="H54">
        <f t="shared" si="2"/>
        <v>-2.2028985507254184E-3</v>
      </c>
      <c r="I54">
        <f t="shared" si="3"/>
        <v>6.335536231884058</v>
      </c>
      <c r="J54" t="str">
        <f t="shared" si="4"/>
        <v/>
      </c>
      <c r="K54" s="216" t="str">
        <f t="shared" si="5"/>
        <v/>
      </c>
      <c r="L54" s="216" t="str">
        <f t="shared" si="6"/>
        <v/>
      </c>
      <c r="M54" s="216">
        <f t="shared" si="7"/>
        <v>25</v>
      </c>
      <c r="N54" s="255" t="str">
        <f t="shared" si="8"/>
        <v/>
      </c>
      <c r="O54" s="255" t="str">
        <f t="shared" si="9"/>
        <v/>
      </c>
      <c r="P54" s="255" t="str">
        <f t="shared" si="10"/>
        <v/>
      </c>
      <c r="Q54" s="255" t="str">
        <f t="shared" si="11"/>
        <v/>
      </c>
      <c r="R54" s="255" t="e">
        <f t="shared" si="15"/>
        <v>#N/A</v>
      </c>
    </row>
    <row r="55" spans="1:18">
      <c r="A55" s="215"/>
      <c r="B55" s="215"/>
      <c r="D55" t="str">
        <f t="shared" si="12"/>
        <v/>
      </c>
      <c r="E55" t="str">
        <f t="shared" si="13"/>
        <v/>
      </c>
      <c r="F55" t="str">
        <f t="shared" si="14"/>
        <v/>
      </c>
      <c r="G55">
        <f t="shared" si="1"/>
        <v>3.1666666666666661</v>
      </c>
      <c r="H55">
        <f t="shared" si="2"/>
        <v>-2.2028985507254184E-3</v>
      </c>
      <c r="I55">
        <f t="shared" si="3"/>
        <v>6.335536231884058</v>
      </c>
      <c r="J55" t="str">
        <f t="shared" si="4"/>
        <v/>
      </c>
      <c r="K55" s="216" t="str">
        <f t="shared" si="5"/>
        <v/>
      </c>
      <c r="L55" s="216" t="str">
        <f t="shared" si="6"/>
        <v/>
      </c>
      <c r="M55" s="216">
        <f t="shared" si="7"/>
        <v>26</v>
      </c>
      <c r="N55" s="255" t="str">
        <f t="shared" si="8"/>
        <v/>
      </c>
      <c r="O55" s="255" t="str">
        <f t="shared" si="9"/>
        <v/>
      </c>
      <c r="P55" s="255" t="str">
        <f t="shared" si="10"/>
        <v/>
      </c>
      <c r="Q55" s="255" t="str">
        <f t="shared" si="11"/>
        <v/>
      </c>
      <c r="R55" s="255" t="e">
        <f t="shared" si="15"/>
        <v>#N/A</v>
      </c>
    </row>
    <row r="56" spans="1:18">
      <c r="A56" s="215"/>
      <c r="B56" s="215"/>
      <c r="D56" t="str">
        <f t="shared" si="12"/>
        <v/>
      </c>
      <c r="E56" t="str">
        <f t="shared" si="13"/>
        <v/>
      </c>
      <c r="F56" t="str">
        <f t="shared" si="14"/>
        <v/>
      </c>
      <c r="G56">
        <f t="shared" si="1"/>
        <v>3.1666666666666661</v>
      </c>
      <c r="H56">
        <f t="shared" si="2"/>
        <v>-2.2028985507254184E-3</v>
      </c>
      <c r="I56">
        <f t="shared" si="3"/>
        <v>6.335536231884058</v>
      </c>
      <c r="J56" t="str">
        <f t="shared" si="4"/>
        <v/>
      </c>
      <c r="K56" s="216" t="str">
        <f t="shared" si="5"/>
        <v/>
      </c>
      <c r="L56" s="216" t="str">
        <f t="shared" si="6"/>
        <v/>
      </c>
      <c r="M56" s="216">
        <f t="shared" si="7"/>
        <v>27</v>
      </c>
      <c r="N56" s="255" t="str">
        <f t="shared" si="8"/>
        <v/>
      </c>
      <c r="O56" s="255" t="str">
        <f t="shared" si="9"/>
        <v/>
      </c>
      <c r="P56" s="255" t="str">
        <f t="shared" si="10"/>
        <v/>
      </c>
      <c r="Q56" s="255" t="str">
        <f t="shared" si="11"/>
        <v/>
      </c>
      <c r="R56" s="255" t="e">
        <f t="shared" si="15"/>
        <v>#N/A</v>
      </c>
    </row>
    <row r="57" spans="1:18">
      <c r="A57" s="215"/>
      <c r="B57" s="215"/>
      <c r="D57" t="str">
        <f t="shared" si="12"/>
        <v/>
      </c>
      <c r="E57" t="str">
        <f t="shared" si="13"/>
        <v/>
      </c>
      <c r="F57" t="str">
        <f t="shared" si="14"/>
        <v/>
      </c>
      <c r="G57">
        <f t="shared" si="1"/>
        <v>3.1666666666666661</v>
      </c>
      <c r="H57">
        <f t="shared" si="2"/>
        <v>-2.2028985507254184E-3</v>
      </c>
      <c r="I57">
        <f t="shared" si="3"/>
        <v>6.335536231884058</v>
      </c>
      <c r="J57" t="str">
        <f t="shared" si="4"/>
        <v/>
      </c>
      <c r="K57" s="216" t="str">
        <f t="shared" si="5"/>
        <v/>
      </c>
      <c r="L57" s="216" t="str">
        <f t="shared" si="6"/>
        <v/>
      </c>
      <c r="M57" s="216">
        <f t="shared" si="7"/>
        <v>28</v>
      </c>
      <c r="N57" s="255" t="str">
        <f t="shared" si="8"/>
        <v/>
      </c>
      <c r="O57" s="255" t="str">
        <f t="shared" si="9"/>
        <v/>
      </c>
      <c r="P57" s="255" t="str">
        <f t="shared" si="10"/>
        <v/>
      </c>
      <c r="Q57" s="255" t="str">
        <f t="shared" si="11"/>
        <v/>
      </c>
      <c r="R57" s="255" t="e">
        <f t="shared" si="15"/>
        <v>#N/A</v>
      </c>
    </row>
    <row r="58" spans="1:18">
      <c r="A58" s="215"/>
      <c r="B58" s="215"/>
      <c r="D58" t="str">
        <f t="shared" si="12"/>
        <v/>
      </c>
      <c r="E58" t="str">
        <f t="shared" si="13"/>
        <v/>
      </c>
      <c r="F58" t="str">
        <f t="shared" si="14"/>
        <v/>
      </c>
      <c r="G58">
        <f t="shared" si="1"/>
        <v>3.1666666666666661</v>
      </c>
      <c r="H58">
        <f t="shared" si="2"/>
        <v>-2.2028985507254184E-3</v>
      </c>
      <c r="I58">
        <f t="shared" si="3"/>
        <v>6.335536231884058</v>
      </c>
      <c r="J58" t="str">
        <f t="shared" si="4"/>
        <v/>
      </c>
      <c r="K58" s="216" t="str">
        <f t="shared" si="5"/>
        <v/>
      </c>
      <c r="L58" s="216" t="str">
        <f t="shared" si="6"/>
        <v/>
      </c>
      <c r="M58" s="216">
        <f t="shared" si="7"/>
        <v>29</v>
      </c>
      <c r="N58" s="255" t="str">
        <f t="shared" si="8"/>
        <v/>
      </c>
      <c r="O58" s="255" t="str">
        <f t="shared" si="9"/>
        <v/>
      </c>
      <c r="P58" s="255" t="str">
        <f t="shared" si="10"/>
        <v/>
      </c>
      <c r="Q58" s="255" t="str">
        <f t="shared" si="11"/>
        <v/>
      </c>
      <c r="R58" s="255" t="e">
        <f t="shared" si="15"/>
        <v>#N/A</v>
      </c>
    </row>
    <row r="59" spans="1:18">
      <c r="A59" s="215"/>
      <c r="B59" s="215"/>
      <c r="D59" t="str">
        <f t="shared" si="12"/>
        <v/>
      </c>
      <c r="E59" t="str">
        <f t="shared" si="13"/>
        <v/>
      </c>
      <c r="F59" t="str">
        <f t="shared" si="14"/>
        <v/>
      </c>
      <c r="G59">
        <f t="shared" si="1"/>
        <v>3.1666666666666661</v>
      </c>
      <c r="H59">
        <f t="shared" si="2"/>
        <v>-2.2028985507254184E-3</v>
      </c>
      <c r="I59">
        <f t="shared" si="3"/>
        <v>6.335536231884058</v>
      </c>
      <c r="J59" t="str">
        <f t="shared" si="4"/>
        <v/>
      </c>
      <c r="K59" s="216" t="str">
        <f t="shared" si="5"/>
        <v/>
      </c>
      <c r="L59" s="216" t="str">
        <f t="shared" si="6"/>
        <v/>
      </c>
      <c r="M59" s="216">
        <f t="shared" si="7"/>
        <v>30</v>
      </c>
      <c r="N59" s="255" t="str">
        <f t="shared" si="8"/>
        <v/>
      </c>
      <c r="O59" s="255" t="str">
        <f t="shared" si="9"/>
        <v/>
      </c>
      <c r="P59" s="255" t="str">
        <f t="shared" si="10"/>
        <v/>
      </c>
      <c r="Q59" s="255" t="str">
        <f t="shared" si="11"/>
        <v/>
      </c>
      <c r="R59" s="255" t="e">
        <f t="shared" si="15"/>
        <v>#N/A</v>
      </c>
    </row>
    <row r="60" spans="1:18">
      <c r="A60" s="215"/>
      <c r="B60" s="215"/>
      <c r="D60" t="str">
        <f t="shared" si="12"/>
        <v/>
      </c>
      <c r="E60" t="str">
        <f t="shared" si="13"/>
        <v/>
      </c>
      <c r="F60" t="str">
        <f t="shared" si="14"/>
        <v/>
      </c>
      <c r="G60">
        <f t="shared" si="1"/>
        <v>3.1666666666666661</v>
      </c>
      <c r="H60">
        <f t="shared" si="2"/>
        <v>-2.2028985507254184E-3</v>
      </c>
      <c r="I60">
        <f t="shared" si="3"/>
        <v>6.335536231884058</v>
      </c>
      <c r="J60" t="str">
        <f t="shared" si="4"/>
        <v/>
      </c>
      <c r="K60" s="216" t="str">
        <f t="shared" si="5"/>
        <v/>
      </c>
      <c r="L60" s="216" t="str">
        <f t="shared" si="6"/>
        <v/>
      </c>
      <c r="M60" s="216">
        <f t="shared" si="7"/>
        <v>31</v>
      </c>
      <c r="N60" s="255" t="str">
        <f t="shared" si="8"/>
        <v/>
      </c>
      <c r="O60" s="255" t="str">
        <f t="shared" si="9"/>
        <v/>
      </c>
      <c r="P60" s="255" t="str">
        <f t="shared" si="10"/>
        <v/>
      </c>
      <c r="Q60" s="255" t="str">
        <f t="shared" si="11"/>
        <v/>
      </c>
      <c r="R60" s="255" t="e">
        <f t="shared" si="15"/>
        <v>#N/A</v>
      </c>
    </row>
    <row r="61" spans="1:18">
      <c r="A61" s="215"/>
      <c r="B61" s="215"/>
      <c r="D61" t="str">
        <f t="shared" si="12"/>
        <v/>
      </c>
      <c r="E61" t="str">
        <f t="shared" si="13"/>
        <v/>
      </c>
      <c r="F61" t="str">
        <f t="shared" si="14"/>
        <v/>
      </c>
      <c r="G61">
        <f t="shared" si="1"/>
        <v>3.1666666666666661</v>
      </c>
      <c r="H61">
        <f t="shared" si="2"/>
        <v>-2.2028985507254184E-3</v>
      </c>
      <c r="I61">
        <f t="shared" si="3"/>
        <v>6.335536231884058</v>
      </c>
      <c r="J61" t="str">
        <f t="shared" si="4"/>
        <v/>
      </c>
      <c r="K61" s="216" t="str">
        <f t="shared" si="5"/>
        <v/>
      </c>
      <c r="L61" s="216" t="str">
        <f t="shared" si="6"/>
        <v/>
      </c>
      <c r="M61" s="216">
        <f t="shared" si="7"/>
        <v>32</v>
      </c>
      <c r="N61" s="255" t="str">
        <f t="shared" si="8"/>
        <v/>
      </c>
      <c r="O61" s="255" t="str">
        <f t="shared" si="9"/>
        <v/>
      </c>
      <c r="P61" s="255" t="str">
        <f t="shared" si="10"/>
        <v/>
      </c>
      <c r="Q61" s="255" t="str">
        <f t="shared" si="11"/>
        <v/>
      </c>
      <c r="R61" s="255" t="e">
        <f t="shared" si="15"/>
        <v>#N/A</v>
      </c>
    </row>
    <row r="62" spans="1:18">
      <c r="A62" s="215"/>
      <c r="B62" s="215"/>
      <c r="D62" t="str">
        <f t="shared" si="12"/>
        <v/>
      </c>
      <c r="E62" t="str">
        <f t="shared" si="13"/>
        <v/>
      </c>
      <c r="F62" t="str">
        <f t="shared" si="14"/>
        <v/>
      </c>
      <c r="G62">
        <f t="shared" si="1"/>
        <v>3.1666666666666661</v>
      </c>
      <c r="H62">
        <f t="shared" si="2"/>
        <v>-2.2028985507254184E-3</v>
      </c>
      <c r="I62">
        <f t="shared" si="3"/>
        <v>6.335536231884058</v>
      </c>
      <c r="J62" t="str">
        <f t="shared" si="4"/>
        <v/>
      </c>
      <c r="K62" s="216" t="str">
        <f t="shared" si="5"/>
        <v/>
      </c>
      <c r="L62" s="216" t="str">
        <f t="shared" si="6"/>
        <v/>
      </c>
      <c r="M62" s="216">
        <f t="shared" si="7"/>
        <v>33</v>
      </c>
      <c r="N62" s="255" t="str">
        <f t="shared" si="8"/>
        <v/>
      </c>
      <c r="O62" s="255" t="str">
        <f t="shared" si="9"/>
        <v/>
      </c>
      <c r="P62" s="255" t="str">
        <f t="shared" si="10"/>
        <v/>
      </c>
      <c r="Q62" s="255" t="str">
        <f t="shared" si="11"/>
        <v/>
      </c>
      <c r="R62" s="255" t="e">
        <f t="shared" si="15"/>
        <v>#N/A</v>
      </c>
    </row>
    <row r="63" spans="1:18">
      <c r="A63" s="215"/>
      <c r="B63" s="215"/>
      <c r="D63" t="str">
        <f t="shared" si="12"/>
        <v/>
      </c>
      <c r="E63" t="str">
        <f t="shared" si="13"/>
        <v/>
      </c>
      <c r="F63" t="str">
        <f t="shared" si="14"/>
        <v/>
      </c>
      <c r="G63">
        <f t="shared" si="1"/>
        <v>3.1666666666666661</v>
      </c>
      <c r="H63">
        <f t="shared" si="2"/>
        <v>-2.2028985507254184E-3</v>
      </c>
      <c r="I63">
        <f t="shared" si="3"/>
        <v>6.335536231884058</v>
      </c>
      <c r="J63" t="str">
        <f t="shared" si="4"/>
        <v/>
      </c>
      <c r="K63" s="216" t="str">
        <f t="shared" si="5"/>
        <v/>
      </c>
      <c r="L63" s="216" t="str">
        <f t="shared" si="6"/>
        <v/>
      </c>
      <c r="M63" s="216">
        <f t="shared" si="7"/>
        <v>34</v>
      </c>
      <c r="N63" s="255" t="str">
        <f t="shared" si="8"/>
        <v/>
      </c>
      <c r="O63" s="255" t="str">
        <f t="shared" si="9"/>
        <v/>
      </c>
      <c r="P63" s="255" t="str">
        <f t="shared" si="10"/>
        <v/>
      </c>
      <c r="Q63" s="255" t="str">
        <f t="shared" si="11"/>
        <v/>
      </c>
      <c r="R63" s="255" t="e">
        <f t="shared" si="15"/>
        <v>#N/A</v>
      </c>
    </row>
    <row r="64" spans="1:18">
      <c r="A64" s="215"/>
      <c r="B64" s="215"/>
      <c r="D64" t="str">
        <f t="shared" si="12"/>
        <v/>
      </c>
      <c r="E64" t="str">
        <f t="shared" si="13"/>
        <v/>
      </c>
      <c r="F64" t="str">
        <f t="shared" si="14"/>
        <v/>
      </c>
      <c r="G64">
        <f t="shared" si="1"/>
        <v>3.1666666666666661</v>
      </c>
      <c r="H64">
        <f t="shared" si="2"/>
        <v>-2.2028985507254184E-3</v>
      </c>
      <c r="I64">
        <f t="shared" si="3"/>
        <v>6.335536231884058</v>
      </c>
      <c r="J64" t="str">
        <f t="shared" si="4"/>
        <v/>
      </c>
      <c r="K64" s="216" t="str">
        <f t="shared" si="5"/>
        <v/>
      </c>
      <c r="L64" s="216" t="str">
        <f t="shared" si="6"/>
        <v/>
      </c>
      <c r="M64" s="216">
        <f t="shared" si="7"/>
        <v>35</v>
      </c>
      <c r="N64" s="255" t="str">
        <f t="shared" si="8"/>
        <v/>
      </c>
      <c r="O64" s="255" t="str">
        <f t="shared" si="9"/>
        <v/>
      </c>
      <c r="P64" s="255" t="str">
        <f t="shared" si="10"/>
        <v/>
      </c>
      <c r="Q64" s="255" t="str">
        <f t="shared" si="11"/>
        <v/>
      </c>
      <c r="R64" s="255" t="e">
        <f t="shared" si="15"/>
        <v>#N/A</v>
      </c>
    </row>
    <row r="65" spans="1:18">
      <c r="A65" s="215"/>
      <c r="B65" s="215"/>
      <c r="D65" t="str">
        <f t="shared" si="12"/>
        <v/>
      </c>
      <c r="E65" t="str">
        <f t="shared" si="13"/>
        <v/>
      </c>
      <c r="F65" t="str">
        <f t="shared" si="14"/>
        <v/>
      </c>
      <c r="G65">
        <f t="shared" si="1"/>
        <v>3.1666666666666661</v>
      </c>
      <c r="H65">
        <f t="shared" si="2"/>
        <v>-2.2028985507254184E-3</v>
      </c>
      <c r="I65">
        <f t="shared" si="3"/>
        <v>6.335536231884058</v>
      </c>
      <c r="J65" t="str">
        <f t="shared" si="4"/>
        <v/>
      </c>
      <c r="K65" s="216" t="str">
        <f t="shared" si="5"/>
        <v/>
      </c>
      <c r="L65" s="216" t="str">
        <f t="shared" si="6"/>
        <v/>
      </c>
      <c r="M65" s="216">
        <f t="shared" si="7"/>
        <v>36</v>
      </c>
      <c r="N65" s="255" t="str">
        <f t="shared" si="8"/>
        <v/>
      </c>
      <c r="O65" s="255" t="str">
        <f t="shared" si="9"/>
        <v/>
      </c>
      <c r="P65" s="255" t="str">
        <f t="shared" si="10"/>
        <v/>
      </c>
      <c r="Q65" s="255" t="str">
        <f t="shared" si="11"/>
        <v/>
      </c>
      <c r="R65" s="255" t="e">
        <f t="shared" si="15"/>
        <v>#N/A</v>
      </c>
    </row>
    <row r="66" spans="1:18">
      <c r="A66" s="215"/>
      <c r="B66" s="215"/>
      <c r="D66" t="str">
        <f t="shared" si="12"/>
        <v/>
      </c>
      <c r="E66" t="str">
        <f t="shared" si="13"/>
        <v/>
      </c>
      <c r="F66" t="str">
        <f t="shared" si="14"/>
        <v/>
      </c>
      <c r="G66">
        <f t="shared" si="1"/>
        <v>3.1666666666666661</v>
      </c>
      <c r="H66">
        <f t="shared" si="2"/>
        <v>-2.2028985507254184E-3</v>
      </c>
      <c r="I66">
        <f t="shared" si="3"/>
        <v>6.335536231884058</v>
      </c>
      <c r="J66" t="str">
        <f t="shared" si="4"/>
        <v/>
      </c>
      <c r="K66" s="216" t="str">
        <f t="shared" si="5"/>
        <v/>
      </c>
      <c r="L66" s="216" t="str">
        <f t="shared" si="6"/>
        <v/>
      </c>
      <c r="M66" s="216">
        <f t="shared" si="7"/>
        <v>37</v>
      </c>
      <c r="N66" s="255" t="str">
        <f t="shared" si="8"/>
        <v/>
      </c>
      <c r="O66" s="255" t="str">
        <f t="shared" si="9"/>
        <v/>
      </c>
      <c r="P66" s="255" t="str">
        <f t="shared" si="10"/>
        <v/>
      </c>
      <c r="Q66" s="255" t="str">
        <f t="shared" si="11"/>
        <v/>
      </c>
      <c r="R66" s="255" t="e">
        <f t="shared" si="15"/>
        <v>#N/A</v>
      </c>
    </row>
    <row r="67" spans="1:18">
      <c r="A67" s="215"/>
      <c r="B67" s="215"/>
      <c r="D67" t="str">
        <f t="shared" si="12"/>
        <v/>
      </c>
      <c r="E67" t="str">
        <f t="shared" si="13"/>
        <v/>
      </c>
      <c r="F67" t="str">
        <f t="shared" si="14"/>
        <v/>
      </c>
      <c r="G67">
        <f t="shared" si="1"/>
        <v>3.1666666666666661</v>
      </c>
      <c r="H67">
        <f t="shared" si="2"/>
        <v>-2.2028985507254184E-3</v>
      </c>
      <c r="I67">
        <f t="shared" si="3"/>
        <v>6.335536231884058</v>
      </c>
      <c r="J67" t="str">
        <f t="shared" si="4"/>
        <v/>
      </c>
      <c r="K67" s="216" t="str">
        <f t="shared" si="5"/>
        <v/>
      </c>
      <c r="L67" s="216" t="str">
        <f t="shared" si="6"/>
        <v/>
      </c>
      <c r="M67" s="216">
        <f t="shared" si="7"/>
        <v>38</v>
      </c>
      <c r="N67" s="255" t="str">
        <f t="shared" si="8"/>
        <v/>
      </c>
      <c r="O67" s="255" t="str">
        <f t="shared" si="9"/>
        <v/>
      </c>
      <c r="P67" s="255" t="str">
        <f t="shared" si="10"/>
        <v/>
      </c>
      <c r="Q67" s="255" t="str">
        <f t="shared" si="11"/>
        <v/>
      </c>
      <c r="R67" s="255" t="e">
        <f t="shared" si="15"/>
        <v>#N/A</v>
      </c>
    </row>
    <row r="68" spans="1:18">
      <c r="A68" s="215"/>
      <c r="B68" s="215"/>
      <c r="D68" t="str">
        <f t="shared" si="12"/>
        <v/>
      </c>
      <c r="E68" t="str">
        <f t="shared" si="13"/>
        <v/>
      </c>
      <c r="F68" t="str">
        <f t="shared" si="14"/>
        <v/>
      </c>
      <c r="G68">
        <f t="shared" si="1"/>
        <v>3.1666666666666661</v>
      </c>
      <c r="H68">
        <f t="shared" si="2"/>
        <v>-2.2028985507254184E-3</v>
      </c>
      <c r="I68">
        <f t="shared" si="3"/>
        <v>6.335536231884058</v>
      </c>
      <c r="J68" t="str">
        <f t="shared" si="4"/>
        <v/>
      </c>
      <c r="K68" s="216" t="str">
        <f t="shared" si="5"/>
        <v/>
      </c>
      <c r="L68" s="216" t="str">
        <f t="shared" si="6"/>
        <v/>
      </c>
      <c r="M68" s="216">
        <f t="shared" si="7"/>
        <v>39</v>
      </c>
      <c r="N68" s="255" t="str">
        <f t="shared" si="8"/>
        <v/>
      </c>
      <c r="O68" s="255" t="str">
        <f t="shared" si="9"/>
        <v/>
      </c>
      <c r="P68" s="255" t="str">
        <f t="shared" si="10"/>
        <v/>
      </c>
      <c r="Q68" s="255" t="str">
        <f t="shared" si="11"/>
        <v/>
      </c>
      <c r="R68" s="255" t="e">
        <f t="shared" si="15"/>
        <v>#N/A</v>
      </c>
    </row>
    <row r="69" spans="1:18">
      <c r="A69" s="215"/>
      <c r="B69" s="215"/>
      <c r="D69" t="str">
        <f t="shared" si="12"/>
        <v/>
      </c>
      <c r="E69" t="str">
        <f t="shared" si="13"/>
        <v/>
      </c>
      <c r="F69" t="str">
        <f t="shared" si="14"/>
        <v/>
      </c>
      <c r="G69">
        <f t="shared" si="1"/>
        <v>3.1666666666666661</v>
      </c>
      <c r="H69">
        <f t="shared" si="2"/>
        <v>-2.2028985507254184E-3</v>
      </c>
      <c r="I69">
        <f t="shared" si="3"/>
        <v>6.335536231884058</v>
      </c>
      <c r="J69" t="str">
        <f t="shared" si="4"/>
        <v/>
      </c>
      <c r="K69" s="216" t="str">
        <f t="shared" si="5"/>
        <v/>
      </c>
      <c r="L69" s="216" t="str">
        <f t="shared" si="6"/>
        <v/>
      </c>
      <c r="M69" s="216">
        <f t="shared" si="7"/>
        <v>40</v>
      </c>
      <c r="N69" s="255" t="str">
        <f t="shared" si="8"/>
        <v/>
      </c>
      <c r="O69" s="255" t="str">
        <f t="shared" si="9"/>
        <v/>
      </c>
      <c r="P69" s="255" t="str">
        <f t="shared" si="10"/>
        <v/>
      </c>
      <c r="Q69" s="255" t="str">
        <f t="shared" si="11"/>
        <v/>
      </c>
      <c r="R69" s="255" t="e">
        <f t="shared" si="15"/>
        <v>#N/A</v>
      </c>
    </row>
    <row r="70" spans="1:18">
      <c r="A70" s="215"/>
      <c r="B70" s="215"/>
      <c r="D70" t="str">
        <f t="shared" si="12"/>
        <v/>
      </c>
      <c r="E70" t="str">
        <f t="shared" si="13"/>
        <v/>
      </c>
      <c r="F70" t="str">
        <f t="shared" si="14"/>
        <v/>
      </c>
      <c r="G70">
        <f t="shared" si="1"/>
        <v>3.1666666666666661</v>
      </c>
      <c r="H70">
        <f t="shared" si="2"/>
        <v>-2.2028985507254184E-3</v>
      </c>
      <c r="I70">
        <f t="shared" si="3"/>
        <v>6.335536231884058</v>
      </c>
      <c r="J70" t="str">
        <f t="shared" si="4"/>
        <v/>
      </c>
      <c r="K70" s="216" t="str">
        <f t="shared" si="5"/>
        <v/>
      </c>
      <c r="L70" s="216" t="str">
        <f t="shared" si="6"/>
        <v/>
      </c>
      <c r="M70" s="216">
        <f t="shared" si="7"/>
        <v>41</v>
      </c>
      <c r="N70" s="255" t="str">
        <f t="shared" si="8"/>
        <v/>
      </c>
      <c r="O70" s="255" t="str">
        <f t="shared" si="9"/>
        <v/>
      </c>
      <c r="P70" s="255" t="str">
        <f t="shared" si="10"/>
        <v/>
      </c>
      <c r="Q70" s="255" t="str">
        <f t="shared" si="11"/>
        <v/>
      </c>
      <c r="R70" s="255" t="e">
        <f t="shared" ref="R70:R101" si="16">IF(COUNT(N70:Q70)&gt;0,B70,NA())</f>
        <v>#N/A</v>
      </c>
    </row>
    <row r="71" spans="1:18">
      <c r="A71" s="215"/>
      <c r="B71" s="215"/>
      <c r="D71" t="str">
        <f t="shared" si="12"/>
        <v/>
      </c>
      <c r="E71" t="str">
        <f t="shared" si="13"/>
        <v/>
      </c>
      <c r="F71" t="str">
        <f t="shared" si="14"/>
        <v/>
      </c>
      <c r="G71">
        <f t="shared" ref="G71:G105" si="17">AVERAGE($B$6:$B$105)</f>
        <v>3.1666666666666661</v>
      </c>
      <c r="H71">
        <f t="shared" ref="H71:H105" si="18">G71-2.66*$E$7</f>
        <v>-2.2028985507254184E-3</v>
      </c>
      <c r="I71">
        <f t="shared" ref="I71:I105" si="19">G71+2.66*$E$7</f>
        <v>6.335536231884058</v>
      </c>
      <c r="J71" t="str">
        <f t="shared" ref="J71:J105" si="20">IF(B71="","",((B71-G71)/($E$7/1.128)))</f>
        <v/>
      </c>
      <c r="K71" s="216" t="str">
        <f t="shared" ref="K71:K105" si="21">IF(B71="","",((B71-G71)/($E$7/1.128)))</f>
        <v/>
      </c>
      <c r="L71" s="216" t="str">
        <f t="shared" ref="L71:L105" si="22">IF(B71="","",SIGN(J71))</f>
        <v/>
      </c>
      <c r="M71" s="216">
        <f t="shared" ref="M71:M105" si="23">IF(L71=L70,1+M70,1)</f>
        <v>42</v>
      </c>
      <c r="N71" s="255" t="str">
        <f t="shared" ref="N71:N105" si="24">IF(B71="","",IF(ABS(J71)&gt;3,B71,""))</f>
        <v/>
      </c>
      <c r="O71" s="255" t="str">
        <f t="shared" ref="O71:O105" si="25">IF(B71="","",IF(AND(ABS(J71)&gt;2,OR(COUNTIF(J69:J73,"&lt;-2")&gt;=2,COUNTIF(J69:J73,"&gt;2")&gt;=2)),B71,""))</f>
        <v/>
      </c>
      <c r="P71" s="255" t="str">
        <f t="shared" ref="P71:P105" si="26">IF(B71="","",IF(AND(ABS(J71)&gt;1,OR(COUNTIF(K67:K75,"&lt;-1")&gt;=4,COUNTIF(K67:K75,"&gt;1")&gt;=4)),B71,""))</f>
        <v/>
      </c>
      <c r="Q71" s="255" t="str">
        <f t="shared" ref="Q71:Q105" si="27">IF(B71="","",IF(MAX(M71:M78)&gt;=8,B71,""))</f>
        <v/>
      </c>
      <c r="R71" s="255" t="e">
        <f t="shared" si="16"/>
        <v>#N/A</v>
      </c>
    </row>
    <row r="72" spans="1:18">
      <c r="A72" s="215"/>
      <c r="B72" s="215"/>
      <c r="D72" t="str">
        <f t="shared" ref="D72:D105" si="28">IF(OR(B72="",B71=""),"",ABS(B72-B71))</f>
        <v/>
      </c>
      <c r="E72" t="str">
        <f t="shared" ref="E72:E105" si="29">IF(D72="","",AVERAGE($D$7:$D$105))</f>
        <v/>
      </c>
      <c r="F72" t="str">
        <f t="shared" ref="F72:F105" si="30">IF(E72="","",3.267*E72)</f>
        <v/>
      </c>
      <c r="G72">
        <f t="shared" si="17"/>
        <v>3.1666666666666661</v>
      </c>
      <c r="H72">
        <f t="shared" si="18"/>
        <v>-2.2028985507254184E-3</v>
      </c>
      <c r="I72">
        <f t="shared" si="19"/>
        <v>6.335536231884058</v>
      </c>
      <c r="J72" t="str">
        <f t="shared" si="20"/>
        <v/>
      </c>
      <c r="K72" s="216" t="str">
        <f t="shared" si="21"/>
        <v/>
      </c>
      <c r="L72" s="216" t="str">
        <f t="shared" si="22"/>
        <v/>
      </c>
      <c r="M72" s="216">
        <f t="shared" si="23"/>
        <v>43</v>
      </c>
      <c r="N72" s="255" t="str">
        <f t="shared" si="24"/>
        <v/>
      </c>
      <c r="O72" s="255" t="str">
        <f t="shared" si="25"/>
        <v/>
      </c>
      <c r="P72" s="255" t="str">
        <f t="shared" si="26"/>
        <v/>
      </c>
      <c r="Q72" s="255" t="str">
        <f t="shared" si="27"/>
        <v/>
      </c>
      <c r="R72" s="255" t="e">
        <f t="shared" si="16"/>
        <v>#N/A</v>
      </c>
    </row>
    <row r="73" spans="1:18">
      <c r="A73" s="215"/>
      <c r="B73" s="215"/>
      <c r="D73" t="str">
        <f t="shared" si="28"/>
        <v/>
      </c>
      <c r="E73" t="str">
        <f t="shared" si="29"/>
        <v/>
      </c>
      <c r="F73" t="str">
        <f t="shared" si="30"/>
        <v/>
      </c>
      <c r="G73">
        <f t="shared" si="17"/>
        <v>3.1666666666666661</v>
      </c>
      <c r="H73">
        <f t="shared" si="18"/>
        <v>-2.2028985507254184E-3</v>
      </c>
      <c r="I73">
        <f t="shared" si="19"/>
        <v>6.335536231884058</v>
      </c>
      <c r="J73" t="str">
        <f t="shared" si="20"/>
        <v/>
      </c>
      <c r="K73" s="216" t="str">
        <f t="shared" si="21"/>
        <v/>
      </c>
      <c r="L73" s="216" t="str">
        <f t="shared" si="22"/>
        <v/>
      </c>
      <c r="M73" s="216">
        <f t="shared" si="23"/>
        <v>44</v>
      </c>
      <c r="N73" s="255" t="str">
        <f t="shared" si="24"/>
        <v/>
      </c>
      <c r="O73" s="255" t="str">
        <f t="shared" si="25"/>
        <v/>
      </c>
      <c r="P73" s="255" t="str">
        <f t="shared" si="26"/>
        <v/>
      </c>
      <c r="Q73" s="255" t="str">
        <f t="shared" si="27"/>
        <v/>
      </c>
      <c r="R73" s="255" t="e">
        <f t="shared" si="16"/>
        <v>#N/A</v>
      </c>
    </row>
    <row r="74" spans="1:18">
      <c r="A74" s="215"/>
      <c r="B74" s="215"/>
      <c r="D74" t="str">
        <f t="shared" si="28"/>
        <v/>
      </c>
      <c r="E74" t="str">
        <f t="shared" si="29"/>
        <v/>
      </c>
      <c r="F74" t="str">
        <f t="shared" si="30"/>
        <v/>
      </c>
      <c r="G74">
        <f t="shared" si="17"/>
        <v>3.1666666666666661</v>
      </c>
      <c r="H74">
        <f t="shared" si="18"/>
        <v>-2.2028985507254184E-3</v>
      </c>
      <c r="I74">
        <f t="shared" si="19"/>
        <v>6.335536231884058</v>
      </c>
      <c r="J74" t="str">
        <f t="shared" si="20"/>
        <v/>
      </c>
      <c r="K74" s="216" t="str">
        <f t="shared" si="21"/>
        <v/>
      </c>
      <c r="L74" s="216" t="str">
        <f t="shared" si="22"/>
        <v/>
      </c>
      <c r="M74" s="216">
        <f t="shared" si="23"/>
        <v>45</v>
      </c>
      <c r="N74" s="255" t="str">
        <f t="shared" si="24"/>
        <v/>
      </c>
      <c r="O74" s="255" t="str">
        <f t="shared" si="25"/>
        <v/>
      </c>
      <c r="P74" s="255" t="str">
        <f t="shared" si="26"/>
        <v/>
      </c>
      <c r="Q74" s="255" t="str">
        <f t="shared" si="27"/>
        <v/>
      </c>
      <c r="R74" s="255" t="e">
        <f t="shared" si="16"/>
        <v>#N/A</v>
      </c>
    </row>
    <row r="75" spans="1:18">
      <c r="A75" s="215"/>
      <c r="B75" s="215"/>
      <c r="D75" t="str">
        <f t="shared" si="28"/>
        <v/>
      </c>
      <c r="E75" t="str">
        <f t="shared" si="29"/>
        <v/>
      </c>
      <c r="F75" t="str">
        <f t="shared" si="30"/>
        <v/>
      </c>
      <c r="G75">
        <f t="shared" si="17"/>
        <v>3.1666666666666661</v>
      </c>
      <c r="H75">
        <f t="shared" si="18"/>
        <v>-2.2028985507254184E-3</v>
      </c>
      <c r="I75">
        <f t="shared" si="19"/>
        <v>6.335536231884058</v>
      </c>
      <c r="J75" t="str">
        <f t="shared" si="20"/>
        <v/>
      </c>
      <c r="K75" s="216" t="str">
        <f t="shared" si="21"/>
        <v/>
      </c>
      <c r="L75" s="216" t="str">
        <f t="shared" si="22"/>
        <v/>
      </c>
      <c r="M75" s="216">
        <f t="shared" si="23"/>
        <v>46</v>
      </c>
      <c r="N75" s="255" t="str">
        <f t="shared" si="24"/>
        <v/>
      </c>
      <c r="O75" s="255" t="str">
        <f t="shared" si="25"/>
        <v/>
      </c>
      <c r="P75" s="255" t="str">
        <f t="shared" si="26"/>
        <v/>
      </c>
      <c r="Q75" s="255" t="str">
        <f t="shared" si="27"/>
        <v/>
      </c>
      <c r="R75" s="255" t="e">
        <f t="shared" si="16"/>
        <v>#N/A</v>
      </c>
    </row>
    <row r="76" spans="1:18">
      <c r="A76" s="215"/>
      <c r="B76" s="215"/>
      <c r="D76" t="str">
        <f t="shared" si="28"/>
        <v/>
      </c>
      <c r="E76" t="str">
        <f t="shared" si="29"/>
        <v/>
      </c>
      <c r="F76" t="str">
        <f t="shared" si="30"/>
        <v/>
      </c>
      <c r="G76">
        <f t="shared" si="17"/>
        <v>3.1666666666666661</v>
      </c>
      <c r="H76">
        <f t="shared" si="18"/>
        <v>-2.2028985507254184E-3</v>
      </c>
      <c r="I76">
        <f t="shared" si="19"/>
        <v>6.335536231884058</v>
      </c>
      <c r="J76" t="str">
        <f t="shared" si="20"/>
        <v/>
      </c>
      <c r="K76" s="216" t="str">
        <f t="shared" si="21"/>
        <v/>
      </c>
      <c r="L76" s="216" t="str">
        <f t="shared" si="22"/>
        <v/>
      </c>
      <c r="M76" s="216">
        <f t="shared" si="23"/>
        <v>47</v>
      </c>
      <c r="N76" s="255" t="str">
        <f t="shared" si="24"/>
        <v/>
      </c>
      <c r="O76" s="255" t="str">
        <f t="shared" si="25"/>
        <v/>
      </c>
      <c r="P76" s="255" t="str">
        <f t="shared" si="26"/>
        <v/>
      </c>
      <c r="Q76" s="255" t="str">
        <f t="shared" si="27"/>
        <v/>
      </c>
      <c r="R76" s="255" t="e">
        <f t="shared" si="16"/>
        <v>#N/A</v>
      </c>
    </row>
    <row r="77" spans="1:18">
      <c r="A77" s="215"/>
      <c r="B77" s="215"/>
      <c r="D77" t="str">
        <f t="shared" si="28"/>
        <v/>
      </c>
      <c r="E77" t="str">
        <f t="shared" si="29"/>
        <v/>
      </c>
      <c r="F77" t="str">
        <f t="shared" si="30"/>
        <v/>
      </c>
      <c r="G77">
        <f t="shared" si="17"/>
        <v>3.1666666666666661</v>
      </c>
      <c r="H77">
        <f t="shared" si="18"/>
        <v>-2.2028985507254184E-3</v>
      </c>
      <c r="I77">
        <f t="shared" si="19"/>
        <v>6.335536231884058</v>
      </c>
      <c r="J77" t="str">
        <f t="shared" si="20"/>
        <v/>
      </c>
      <c r="K77" s="216" t="str">
        <f t="shared" si="21"/>
        <v/>
      </c>
      <c r="L77" s="216" t="str">
        <f t="shared" si="22"/>
        <v/>
      </c>
      <c r="M77" s="216">
        <f t="shared" si="23"/>
        <v>48</v>
      </c>
      <c r="N77" s="255" t="str">
        <f t="shared" si="24"/>
        <v/>
      </c>
      <c r="O77" s="255" t="str">
        <f t="shared" si="25"/>
        <v/>
      </c>
      <c r="P77" s="255" t="str">
        <f t="shared" si="26"/>
        <v/>
      </c>
      <c r="Q77" s="255" t="str">
        <f t="shared" si="27"/>
        <v/>
      </c>
      <c r="R77" s="255" t="e">
        <f t="shared" si="16"/>
        <v>#N/A</v>
      </c>
    </row>
    <row r="78" spans="1:18">
      <c r="A78" s="215"/>
      <c r="B78" s="215"/>
      <c r="D78" t="str">
        <f t="shared" si="28"/>
        <v/>
      </c>
      <c r="E78" t="str">
        <f t="shared" si="29"/>
        <v/>
      </c>
      <c r="F78" t="str">
        <f t="shared" si="30"/>
        <v/>
      </c>
      <c r="G78">
        <f t="shared" si="17"/>
        <v>3.1666666666666661</v>
      </c>
      <c r="H78">
        <f t="shared" si="18"/>
        <v>-2.2028985507254184E-3</v>
      </c>
      <c r="I78">
        <f t="shared" si="19"/>
        <v>6.335536231884058</v>
      </c>
      <c r="J78" t="str">
        <f t="shared" si="20"/>
        <v/>
      </c>
      <c r="K78" s="216" t="str">
        <f t="shared" si="21"/>
        <v/>
      </c>
      <c r="L78" s="216" t="str">
        <f t="shared" si="22"/>
        <v/>
      </c>
      <c r="M78" s="216">
        <f t="shared" si="23"/>
        <v>49</v>
      </c>
      <c r="N78" s="255" t="str">
        <f t="shared" si="24"/>
        <v/>
      </c>
      <c r="O78" s="255" t="str">
        <f t="shared" si="25"/>
        <v/>
      </c>
      <c r="P78" s="255" t="str">
        <f t="shared" si="26"/>
        <v/>
      </c>
      <c r="Q78" s="255" t="str">
        <f t="shared" si="27"/>
        <v/>
      </c>
      <c r="R78" s="255" t="e">
        <f t="shared" si="16"/>
        <v>#N/A</v>
      </c>
    </row>
    <row r="79" spans="1:18">
      <c r="A79" s="215"/>
      <c r="B79" s="215"/>
      <c r="D79" t="str">
        <f t="shared" si="28"/>
        <v/>
      </c>
      <c r="E79" t="str">
        <f t="shared" si="29"/>
        <v/>
      </c>
      <c r="F79" t="str">
        <f t="shared" si="30"/>
        <v/>
      </c>
      <c r="G79">
        <f t="shared" si="17"/>
        <v>3.1666666666666661</v>
      </c>
      <c r="H79">
        <f t="shared" si="18"/>
        <v>-2.2028985507254184E-3</v>
      </c>
      <c r="I79">
        <f t="shared" si="19"/>
        <v>6.335536231884058</v>
      </c>
      <c r="J79" t="str">
        <f t="shared" si="20"/>
        <v/>
      </c>
      <c r="K79" s="216" t="str">
        <f t="shared" si="21"/>
        <v/>
      </c>
      <c r="L79" s="216" t="str">
        <f t="shared" si="22"/>
        <v/>
      </c>
      <c r="M79" s="216">
        <f t="shared" si="23"/>
        <v>50</v>
      </c>
      <c r="N79" s="255" t="str">
        <f t="shared" si="24"/>
        <v/>
      </c>
      <c r="O79" s="255" t="str">
        <f t="shared" si="25"/>
        <v/>
      </c>
      <c r="P79" s="255" t="str">
        <f t="shared" si="26"/>
        <v/>
      </c>
      <c r="Q79" s="255" t="str">
        <f t="shared" si="27"/>
        <v/>
      </c>
      <c r="R79" s="255" t="e">
        <f t="shared" si="16"/>
        <v>#N/A</v>
      </c>
    </row>
    <row r="80" spans="1:18">
      <c r="A80" s="215"/>
      <c r="B80" s="215"/>
      <c r="D80" t="str">
        <f t="shared" si="28"/>
        <v/>
      </c>
      <c r="E80" t="str">
        <f t="shared" si="29"/>
        <v/>
      </c>
      <c r="F80" t="str">
        <f t="shared" si="30"/>
        <v/>
      </c>
      <c r="G80">
        <f t="shared" si="17"/>
        <v>3.1666666666666661</v>
      </c>
      <c r="H80">
        <f t="shared" si="18"/>
        <v>-2.2028985507254184E-3</v>
      </c>
      <c r="I80">
        <f t="shared" si="19"/>
        <v>6.335536231884058</v>
      </c>
      <c r="J80" t="str">
        <f t="shared" si="20"/>
        <v/>
      </c>
      <c r="K80" s="216" t="str">
        <f t="shared" si="21"/>
        <v/>
      </c>
      <c r="L80" s="216" t="str">
        <f t="shared" si="22"/>
        <v/>
      </c>
      <c r="M80" s="216">
        <f t="shared" si="23"/>
        <v>51</v>
      </c>
      <c r="N80" s="255" t="str">
        <f t="shared" si="24"/>
        <v/>
      </c>
      <c r="O80" s="255" t="str">
        <f t="shared" si="25"/>
        <v/>
      </c>
      <c r="P80" s="255" t="str">
        <f t="shared" si="26"/>
        <v/>
      </c>
      <c r="Q80" s="255" t="str">
        <f t="shared" si="27"/>
        <v/>
      </c>
      <c r="R80" s="255" t="e">
        <f t="shared" si="16"/>
        <v>#N/A</v>
      </c>
    </row>
    <row r="81" spans="1:18">
      <c r="A81" s="215"/>
      <c r="B81" s="215"/>
      <c r="D81" t="str">
        <f t="shared" si="28"/>
        <v/>
      </c>
      <c r="E81" t="str">
        <f t="shared" si="29"/>
        <v/>
      </c>
      <c r="F81" t="str">
        <f t="shared" si="30"/>
        <v/>
      </c>
      <c r="G81">
        <f t="shared" si="17"/>
        <v>3.1666666666666661</v>
      </c>
      <c r="H81">
        <f t="shared" si="18"/>
        <v>-2.2028985507254184E-3</v>
      </c>
      <c r="I81">
        <f t="shared" si="19"/>
        <v>6.335536231884058</v>
      </c>
      <c r="J81" t="str">
        <f t="shared" si="20"/>
        <v/>
      </c>
      <c r="K81" s="216" t="str">
        <f t="shared" si="21"/>
        <v/>
      </c>
      <c r="L81" s="216" t="str">
        <f t="shared" si="22"/>
        <v/>
      </c>
      <c r="M81" s="216">
        <f t="shared" si="23"/>
        <v>52</v>
      </c>
      <c r="N81" s="255" t="str">
        <f t="shared" si="24"/>
        <v/>
      </c>
      <c r="O81" s="255" t="str">
        <f t="shared" si="25"/>
        <v/>
      </c>
      <c r="P81" s="255" t="str">
        <f t="shared" si="26"/>
        <v/>
      </c>
      <c r="Q81" s="255" t="str">
        <f t="shared" si="27"/>
        <v/>
      </c>
      <c r="R81" s="255" t="e">
        <f t="shared" si="16"/>
        <v>#N/A</v>
      </c>
    </row>
    <row r="82" spans="1:18">
      <c r="A82" s="215"/>
      <c r="B82" s="215"/>
      <c r="D82" t="str">
        <f t="shared" si="28"/>
        <v/>
      </c>
      <c r="E82" t="str">
        <f t="shared" si="29"/>
        <v/>
      </c>
      <c r="F82" t="str">
        <f t="shared" si="30"/>
        <v/>
      </c>
      <c r="G82">
        <f t="shared" si="17"/>
        <v>3.1666666666666661</v>
      </c>
      <c r="H82">
        <f t="shared" si="18"/>
        <v>-2.2028985507254184E-3</v>
      </c>
      <c r="I82">
        <f t="shared" si="19"/>
        <v>6.335536231884058</v>
      </c>
      <c r="J82" t="str">
        <f t="shared" si="20"/>
        <v/>
      </c>
      <c r="K82" s="216" t="str">
        <f t="shared" si="21"/>
        <v/>
      </c>
      <c r="L82" s="216" t="str">
        <f t="shared" si="22"/>
        <v/>
      </c>
      <c r="M82" s="216">
        <f t="shared" si="23"/>
        <v>53</v>
      </c>
      <c r="N82" s="255" t="str">
        <f t="shared" si="24"/>
        <v/>
      </c>
      <c r="O82" s="255" t="str">
        <f t="shared" si="25"/>
        <v/>
      </c>
      <c r="P82" s="255" t="str">
        <f t="shared" si="26"/>
        <v/>
      </c>
      <c r="Q82" s="255" t="str">
        <f t="shared" si="27"/>
        <v/>
      </c>
      <c r="R82" s="255" t="e">
        <f t="shared" si="16"/>
        <v>#N/A</v>
      </c>
    </row>
    <row r="83" spans="1:18">
      <c r="A83" s="215"/>
      <c r="B83" s="215"/>
      <c r="D83" t="str">
        <f t="shared" si="28"/>
        <v/>
      </c>
      <c r="E83" t="str">
        <f t="shared" si="29"/>
        <v/>
      </c>
      <c r="F83" t="str">
        <f t="shared" si="30"/>
        <v/>
      </c>
      <c r="G83">
        <f t="shared" si="17"/>
        <v>3.1666666666666661</v>
      </c>
      <c r="H83">
        <f t="shared" si="18"/>
        <v>-2.2028985507254184E-3</v>
      </c>
      <c r="I83">
        <f t="shared" si="19"/>
        <v>6.335536231884058</v>
      </c>
      <c r="J83" t="str">
        <f t="shared" si="20"/>
        <v/>
      </c>
      <c r="K83" s="216" t="str">
        <f t="shared" si="21"/>
        <v/>
      </c>
      <c r="L83" s="216" t="str">
        <f t="shared" si="22"/>
        <v/>
      </c>
      <c r="M83" s="216">
        <f t="shared" si="23"/>
        <v>54</v>
      </c>
      <c r="N83" s="255" t="str">
        <f t="shared" si="24"/>
        <v/>
      </c>
      <c r="O83" s="255" t="str">
        <f t="shared" si="25"/>
        <v/>
      </c>
      <c r="P83" s="255" t="str">
        <f t="shared" si="26"/>
        <v/>
      </c>
      <c r="Q83" s="255" t="str">
        <f t="shared" si="27"/>
        <v/>
      </c>
      <c r="R83" s="255" t="e">
        <f t="shared" si="16"/>
        <v>#N/A</v>
      </c>
    </row>
    <row r="84" spans="1:18">
      <c r="A84" s="215"/>
      <c r="B84" s="215"/>
      <c r="D84" t="str">
        <f t="shared" si="28"/>
        <v/>
      </c>
      <c r="E84" t="str">
        <f t="shared" si="29"/>
        <v/>
      </c>
      <c r="F84" t="str">
        <f t="shared" si="30"/>
        <v/>
      </c>
      <c r="G84">
        <f t="shared" si="17"/>
        <v>3.1666666666666661</v>
      </c>
      <c r="H84">
        <f t="shared" si="18"/>
        <v>-2.2028985507254184E-3</v>
      </c>
      <c r="I84">
        <f t="shared" si="19"/>
        <v>6.335536231884058</v>
      </c>
      <c r="J84" t="str">
        <f t="shared" si="20"/>
        <v/>
      </c>
      <c r="K84" s="216" t="str">
        <f t="shared" si="21"/>
        <v/>
      </c>
      <c r="L84" s="216" t="str">
        <f t="shared" si="22"/>
        <v/>
      </c>
      <c r="M84" s="216">
        <f t="shared" si="23"/>
        <v>55</v>
      </c>
      <c r="N84" s="255" t="str">
        <f t="shared" si="24"/>
        <v/>
      </c>
      <c r="O84" s="255" t="str">
        <f t="shared" si="25"/>
        <v/>
      </c>
      <c r="P84" s="255" t="str">
        <f t="shared" si="26"/>
        <v/>
      </c>
      <c r="Q84" s="255" t="str">
        <f t="shared" si="27"/>
        <v/>
      </c>
      <c r="R84" s="255" t="e">
        <f t="shared" si="16"/>
        <v>#N/A</v>
      </c>
    </row>
    <row r="85" spans="1:18">
      <c r="A85" s="215"/>
      <c r="B85" s="215"/>
      <c r="D85" t="str">
        <f t="shared" si="28"/>
        <v/>
      </c>
      <c r="E85" t="str">
        <f t="shared" si="29"/>
        <v/>
      </c>
      <c r="F85" t="str">
        <f t="shared" si="30"/>
        <v/>
      </c>
      <c r="G85">
        <f t="shared" si="17"/>
        <v>3.1666666666666661</v>
      </c>
      <c r="H85">
        <f t="shared" si="18"/>
        <v>-2.2028985507254184E-3</v>
      </c>
      <c r="I85">
        <f t="shared" si="19"/>
        <v>6.335536231884058</v>
      </c>
      <c r="J85" t="str">
        <f t="shared" si="20"/>
        <v/>
      </c>
      <c r="K85" s="216" t="str">
        <f t="shared" si="21"/>
        <v/>
      </c>
      <c r="L85" s="216" t="str">
        <f t="shared" si="22"/>
        <v/>
      </c>
      <c r="M85" s="216">
        <f t="shared" si="23"/>
        <v>56</v>
      </c>
      <c r="N85" s="255" t="str">
        <f t="shared" si="24"/>
        <v/>
      </c>
      <c r="O85" s="255" t="str">
        <f t="shared" si="25"/>
        <v/>
      </c>
      <c r="P85" s="255" t="str">
        <f t="shared" si="26"/>
        <v/>
      </c>
      <c r="Q85" s="255" t="str">
        <f t="shared" si="27"/>
        <v/>
      </c>
      <c r="R85" s="255" t="e">
        <f t="shared" si="16"/>
        <v>#N/A</v>
      </c>
    </row>
    <row r="86" spans="1:18">
      <c r="A86" s="215"/>
      <c r="B86" s="215"/>
      <c r="D86" t="str">
        <f t="shared" si="28"/>
        <v/>
      </c>
      <c r="E86" t="str">
        <f t="shared" si="29"/>
        <v/>
      </c>
      <c r="F86" t="str">
        <f t="shared" si="30"/>
        <v/>
      </c>
      <c r="G86">
        <f t="shared" si="17"/>
        <v>3.1666666666666661</v>
      </c>
      <c r="H86">
        <f t="shared" si="18"/>
        <v>-2.2028985507254184E-3</v>
      </c>
      <c r="I86">
        <f t="shared" si="19"/>
        <v>6.335536231884058</v>
      </c>
      <c r="J86" t="str">
        <f t="shared" si="20"/>
        <v/>
      </c>
      <c r="K86" s="216" t="str">
        <f t="shared" si="21"/>
        <v/>
      </c>
      <c r="L86" s="216" t="str">
        <f t="shared" si="22"/>
        <v/>
      </c>
      <c r="M86" s="216">
        <f t="shared" si="23"/>
        <v>57</v>
      </c>
      <c r="N86" s="255" t="str">
        <f t="shared" si="24"/>
        <v/>
      </c>
      <c r="O86" s="255" t="str">
        <f t="shared" si="25"/>
        <v/>
      </c>
      <c r="P86" s="255" t="str">
        <f t="shared" si="26"/>
        <v/>
      </c>
      <c r="Q86" s="255" t="str">
        <f t="shared" si="27"/>
        <v/>
      </c>
      <c r="R86" s="255" t="e">
        <f t="shared" si="16"/>
        <v>#N/A</v>
      </c>
    </row>
    <row r="87" spans="1:18">
      <c r="A87" s="215"/>
      <c r="B87" s="215"/>
      <c r="D87" t="str">
        <f t="shared" si="28"/>
        <v/>
      </c>
      <c r="E87" t="str">
        <f t="shared" si="29"/>
        <v/>
      </c>
      <c r="F87" t="str">
        <f t="shared" si="30"/>
        <v/>
      </c>
      <c r="G87">
        <f t="shared" si="17"/>
        <v>3.1666666666666661</v>
      </c>
      <c r="H87">
        <f t="shared" si="18"/>
        <v>-2.2028985507254184E-3</v>
      </c>
      <c r="I87">
        <f t="shared" si="19"/>
        <v>6.335536231884058</v>
      </c>
      <c r="J87" t="str">
        <f t="shared" si="20"/>
        <v/>
      </c>
      <c r="K87" s="216" t="str">
        <f t="shared" si="21"/>
        <v/>
      </c>
      <c r="L87" s="216" t="str">
        <f t="shared" si="22"/>
        <v/>
      </c>
      <c r="M87" s="216">
        <f t="shared" si="23"/>
        <v>58</v>
      </c>
      <c r="N87" s="255" t="str">
        <f t="shared" si="24"/>
        <v/>
      </c>
      <c r="O87" s="255" t="str">
        <f t="shared" si="25"/>
        <v/>
      </c>
      <c r="P87" s="255" t="str">
        <f t="shared" si="26"/>
        <v/>
      </c>
      <c r="Q87" s="255" t="str">
        <f t="shared" si="27"/>
        <v/>
      </c>
      <c r="R87" s="255" t="e">
        <f t="shared" si="16"/>
        <v>#N/A</v>
      </c>
    </row>
    <row r="88" spans="1:18">
      <c r="A88" s="215"/>
      <c r="B88" s="215"/>
      <c r="D88" t="str">
        <f t="shared" si="28"/>
        <v/>
      </c>
      <c r="E88" t="str">
        <f t="shared" si="29"/>
        <v/>
      </c>
      <c r="F88" t="str">
        <f t="shared" si="30"/>
        <v/>
      </c>
      <c r="G88">
        <f t="shared" si="17"/>
        <v>3.1666666666666661</v>
      </c>
      <c r="H88">
        <f t="shared" si="18"/>
        <v>-2.2028985507254184E-3</v>
      </c>
      <c r="I88">
        <f t="shared" si="19"/>
        <v>6.335536231884058</v>
      </c>
      <c r="J88" t="str">
        <f t="shared" si="20"/>
        <v/>
      </c>
      <c r="K88" s="216" t="str">
        <f t="shared" si="21"/>
        <v/>
      </c>
      <c r="L88" s="216" t="str">
        <f t="shared" si="22"/>
        <v/>
      </c>
      <c r="M88" s="216">
        <f t="shared" si="23"/>
        <v>59</v>
      </c>
      <c r="N88" s="255" t="str">
        <f t="shared" si="24"/>
        <v/>
      </c>
      <c r="O88" s="255" t="str">
        <f t="shared" si="25"/>
        <v/>
      </c>
      <c r="P88" s="255" t="str">
        <f t="shared" si="26"/>
        <v/>
      </c>
      <c r="Q88" s="255" t="str">
        <f t="shared" si="27"/>
        <v/>
      </c>
      <c r="R88" s="255" t="e">
        <f t="shared" si="16"/>
        <v>#N/A</v>
      </c>
    </row>
    <row r="89" spans="1:18">
      <c r="A89" s="215"/>
      <c r="B89" s="215"/>
      <c r="D89" t="str">
        <f t="shared" si="28"/>
        <v/>
      </c>
      <c r="E89" t="str">
        <f t="shared" si="29"/>
        <v/>
      </c>
      <c r="F89" t="str">
        <f t="shared" si="30"/>
        <v/>
      </c>
      <c r="G89">
        <f t="shared" si="17"/>
        <v>3.1666666666666661</v>
      </c>
      <c r="H89">
        <f t="shared" si="18"/>
        <v>-2.2028985507254184E-3</v>
      </c>
      <c r="I89">
        <f t="shared" si="19"/>
        <v>6.335536231884058</v>
      </c>
      <c r="J89" t="str">
        <f t="shared" si="20"/>
        <v/>
      </c>
      <c r="K89" s="216" t="str">
        <f t="shared" si="21"/>
        <v/>
      </c>
      <c r="L89" s="216" t="str">
        <f t="shared" si="22"/>
        <v/>
      </c>
      <c r="M89" s="216">
        <f t="shared" si="23"/>
        <v>60</v>
      </c>
      <c r="N89" s="255" t="str">
        <f t="shared" si="24"/>
        <v/>
      </c>
      <c r="O89" s="255" t="str">
        <f t="shared" si="25"/>
        <v/>
      </c>
      <c r="P89" s="255" t="str">
        <f t="shared" si="26"/>
        <v/>
      </c>
      <c r="Q89" s="255" t="str">
        <f t="shared" si="27"/>
        <v/>
      </c>
      <c r="R89" s="255" t="e">
        <f t="shared" si="16"/>
        <v>#N/A</v>
      </c>
    </row>
    <row r="90" spans="1:18">
      <c r="A90" s="215"/>
      <c r="B90" s="215"/>
      <c r="D90" t="str">
        <f t="shared" si="28"/>
        <v/>
      </c>
      <c r="E90" t="str">
        <f t="shared" si="29"/>
        <v/>
      </c>
      <c r="F90" t="str">
        <f t="shared" si="30"/>
        <v/>
      </c>
      <c r="G90">
        <f t="shared" si="17"/>
        <v>3.1666666666666661</v>
      </c>
      <c r="H90">
        <f t="shared" si="18"/>
        <v>-2.2028985507254184E-3</v>
      </c>
      <c r="I90">
        <f t="shared" si="19"/>
        <v>6.335536231884058</v>
      </c>
      <c r="J90" t="str">
        <f t="shared" si="20"/>
        <v/>
      </c>
      <c r="K90" s="216" t="str">
        <f t="shared" si="21"/>
        <v/>
      </c>
      <c r="L90" s="216" t="str">
        <f t="shared" si="22"/>
        <v/>
      </c>
      <c r="M90" s="216">
        <f t="shared" si="23"/>
        <v>61</v>
      </c>
      <c r="N90" s="255" t="str">
        <f t="shared" si="24"/>
        <v/>
      </c>
      <c r="O90" s="255" t="str">
        <f t="shared" si="25"/>
        <v/>
      </c>
      <c r="P90" s="255" t="str">
        <f t="shared" si="26"/>
        <v/>
      </c>
      <c r="Q90" s="255" t="str">
        <f t="shared" si="27"/>
        <v/>
      </c>
      <c r="R90" s="255" t="e">
        <f t="shared" si="16"/>
        <v>#N/A</v>
      </c>
    </row>
    <row r="91" spans="1:18">
      <c r="A91" s="215"/>
      <c r="B91" s="215"/>
      <c r="D91" t="str">
        <f t="shared" si="28"/>
        <v/>
      </c>
      <c r="E91" t="str">
        <f t="shared" si="29"/>
        <v/>
      </c>
      <c r="F91" t="str">
        <f t="shared" si="30"/>
        <v/>
      </c>
      <c r="G91">
        <f t="shared" si="17"/>
        <v>3.1666666666666661</v>
      </c>
      <c r="H91">
        <f t="shared" si="18"/>
        <v>-2.2028985507254184E-3</v>
      </c>
      <c r="I91">
        <f t="shared" si="19"/>
        <v>6.335536231884058</v>
      </c>
      <c r="J91" t="str">
        <f t="shared" si="20"/>
        <v/>
      </c>
      <c r="K91" s="216" t="str">
        <f t="shared" si="21"/>
        <v/>
      </c>
      <c r="L91" s="216" t="str">
        <f t="shared" si="22"/>
        <v/>
      </c>
      <c r="M91" s="216">
        <f t="shared" si="23"/>
        <v>62</v>
      </c>
      <c r="N91" s="255" t="str">
        <f t="shared" si="24"/>
        <v/>
      </c>
      <c r="O91" s="255" t="str">
        <f t="shared" si="25"/>
        <v/>
      </c>
      <c r="P91" s="255" t="str">
        <f t="shared" si="26"/>
        <v/>
      </c>
      <c r="Q91" s="255" t="str">
        <f t="shared" si="27"/>
        <v/>
      </c>
      <c r="R91" s="255" t="e">
        <f t="shared" si="16"/>
        <v>#N/A</v>
      </c>
    </row>
    <row r="92" spans="1:18">
      <c r="A92" s="215"/>
      <c r="B92" s="215"/>
      <c r="D92" t="str">
        <f t="shared" si="28"/>
        <v/>
      </c>
      <c r="E92" t="str">
        <f t="shared" si="29"/>
        <v/>
      </c>
      <c r="F92" t="str">
        <f t="shared" si="30"/>
        <v/>
      </c>
      <c r="G92">
        <f t="shared" si="17"/>
        <v>3.1666666666666661</v>
      </c>
      <c r="H92">
        <f t="shared" si="18"/>
        <v>-2.2028985507254184E-3</v>
      </c>
      <c r="I92">
        <f t="shared" si="19"/>
        <v>6.335536231884058</v>
      </c>
      <c r="J92" t="str">
        <f t="shared" si="20"/>
        <v/>
      </c>
      <c r="K92" s="216" t="str">
        <f t="shared" si="21"/>
        <v/>
      </c>
      <c r="L92" s="216" t="str">
        <f t="shared" si="22"/>
        <v/>
      </c>
      <c r="M92" s="216">
        <f t="shared" si="23"/>
        <v>63</v>
      </c>
      <c r="N92" s="255" t="str">
        <f t="shared" si="24"/>
        <v/>
      </c>
      <c r="O92" s="255" t="str">
        <f t="shared" si="25"/>
        <v/>
      </c>
      <c r="P92" s="255" t="str">
        <f t="shared" si="26"/>
        <v/>
      </c>
      <c r="Q92" s="255" t="str">
        <f t="shared" si="27"/>
        <v/>
      </c>
      <c r="R92" s="255" t="e">
        <f t="shared" si="16"/>
        <v>#N/A</v>
      </c>
    </row>
    <row r="93" spans="1:18">
      <c r="A93" s="215"/>
      <c r="B93" s="215"/>
      <c r="D93" t="str">
        <f t="shared" si="28"/>
        <v/>
      </c>
      <c r="E93" t="str">
        <f t="shared" si="29"/>
        <v/>
      </c>
      <c r="F93" t="str">
        <f t="shared" si="30"/>
        <v/>
      </c>
      <c r="G93">
        <f t="shared" si="17"/>
        <v>3.1666666666666661</v>
      </c>
      <c r="H93">
        <f t="shared" si="18"/>
        <v>-2.2028985507254184E-3</v>
      </c>
      <c r="I93">
        <f t="shared" si="19"/>
        <v>6.335536231884058</v>
      </c>
      <c r="J93" t="str">
        <f t="shared" si="20"/>
        <v/>
      </c>
      <c r="K93" s="216" t="str">
        <f t="shared" si="21"/>
        <v/>
      </c>
      <c r="L93" s="216" t="str">
        <f t="shared" si="22"/>
        <v/>
      </c>
      <c r="M93" s="216">
        <f t="shared" si="23"/>
        <v>64</v>
      </c>
      <c r="N93" s="255" t="str">
        <f t="shared" si="24"/>
        <v/>
      </c>
      <c r="O93" s="255" t="str">
        <f t="shared" si="25"/>
        <v/>
      </c>
      <c r="P93" s="255" t="str">
        <f t="shared" si="26"/>
        <v/>
      </c>
      <c r="Q93" s="255" t="str">
        <f t="shared" si="27"/>
        <v/>
      </c>
      <c r="R93" s="255" t="e">
        <f t="shared" si="16"/>
        <v>#N/A</v>
      </c>
    </row>
    <row r="94" spans="1:18">
      <c r="A94" s="215"/>
      <c r="B94" s="215"/>
      <c r="D94" t="str">
        <f t="shared" si="28"/>
        <v/>
      </c>
      <c r="E94" t="str">
        <f t="shared" si="29"/>
        <v/>
      </c>
      <c r="F94" t="str">
        <f t="shared" si="30"/>
        <v/>
      </c>
      <c r="G94">
        <f t="shared" si="17"/>
        <v>3.1666666666666661</v>
      </c>
      <c r="H94">
        <f t="shared" si="18"/>
        <v>-2.2028985507254184E-3</v>
      </c>
      <c r="I94">
        <f t="shared" si="19"/>
        <v>6.335536231884058</v>
      </c>
      <c r="J94" t="str">
        <f t="shared" si="20"/>
        <v/>
      </c>
      <c r="K94" s="216" t="str">
        <f t="shared" si="21"/>
        <v/>
      </c>
      <c r="L94" s="216" t="str">
        <f t="shared" si="22"/>
        <v/>
      </c>
      <c r="M94" s="216">
        <f t="shared" si="23"/>
        <v>65</v>
      </c>
      <c r="N94" s="255" t="str">
        <f t="shared" si="24"/>
        <v/>
      </c>
      <c r="O94" s="255" t="str">
        <f t="shared" si="25"/>
        <v/>
      </c>
      <c r="P94" s="255" t="str">
        <f t="shared" si="26"/>
        <v/>
      </c>
      <c r="Q94" s="255" t="str">
        <f t="shared" si="27"/>
        <v/>
      </c>
      <c r="R94" s="255" t="e">
        <f t="shared" si="16"/>
        <v>#N/A</v>
      </c>
    </row>
    <row r="95" spans="1:18">
      <c r="A95" s="215"/>
      <c r="B95" s="215"/>
      <c r="D95" t="str">
        <f t="shared" si="28"/>
        <v/>
      </c>
      <c r="E95" t="str">
        <f t="shared" si="29"/>
        <v/>
      </c>
      <c r="F95" t="str">
        <f t="shared" si="30"/>
        <v/>
      </c>
      <c r="G95">
        <f t="shared" si="17"/>
        <v>3.1666666666666661</v>
      </c>
      <c r="H95">
        <f t="shared" si="18"/>
        <v>-2.2028985507254184E-3</v>
      </c>
      <c r="I95">
        <f t="shared" si="19"/>
        <v>6.335536231884058</v>
      </c>
      <c r="J95" t="str">
        <f t="shared" si="20"/>
        <v/>
      </c>
      <c r="K95" s="216" t="str">
        <f t="shared" si="21"/>
        <v/>
      </c>
      <c r="L95" s="216" t="str">
        <f t="shared" si="22"/>
        <v/>
      </c>
      <c r="M95" s="216">
        <f t="shared" si="23"/>
        <v>66</v>
      </c>
      <c r="N95" s="255" t="str">
        <f t="shared" si="24"/>
        <v/>
      </c>
      <c r="O95" s="255" t="str">
        <f t="shared" si="25"/>
        <v/>
      </c>
      <c r="P95" s="255" t="str">
        <f t="shared" si="26"/>
        <v/>
      </c>
      <c r="Q95" s="255" t="str">
        <f t="shared" si="27"/>
        <v/>
      </c>
      <c r="R95" s="255" t="e">
        <f t="shared" si="16"/>
        <v>#N/A</v>
      </c>
    </row>
    <row r="96" spans="1:18">
      <c r="A96" s="215"/>
      <c r="B96" s="215"/>
      <c r="D96" t="str">
        <f t="shared" si="28"/>
        <v/>
      </c>
      <c r="E96" t="str">
        <f t="shared" si="29"/>
        <v/>
      </c>
      <c r="F96" t="str">
        <f t="shared" si="30"/>
        <v/>
      </c>
      <c r="G96">
        <f t="shared" si="17"/>
        <v>3.1666666666666661</v>
      </c>
      <c r="H96">
        <f t="shared" si="18"/>
        <v>-2.2028985507254184E-3</v>
      </c>
      <c r="I96">
        <f t="shared" si="19"/>
        <v>6.335536231884058</v>
      </c>
      <c r="J96" t="str">
        <f t="shared" si="20"/>
        <v/>
      </c>
      <c r="K96" s="216" t="str">
        <f t="shared" si="21"/>
        <v/>
      </c>
      <c r="L96" s="216" t="str">
        <f t="shared" si="22"/>
        <v/>
      </c>
      <c r="M96" s="216">
        <f t="shared" si="23"/>
        <v>67</v>
      </c>
      <c r="N96" s="255" t="str">
        <f t="shared" si="24"/>
        <v/>
      </c>
      <c r="O96" s="255" t="str">
        <f t="shared" si="25"/>
        <v/>
      </c>
      <c r="P96" s="255" t="str">
        <f t="shared" si="26"/>
        <v/>
      </c>
      <c r="Q96" s="255" t="str">
        <f t="shared" si="27"/>
        <v/>
      </c>
      <c r="R96" s="255" t="e">
        <f t="shared" si="16"/>
        <v>#N/A</v>
      </c>
    </row>
    <row r="97" spans="1:18">
      <c r="A97" s="215"/>
      <c r="B97" s="215"/>
      <c r="D97" t="str">
        <f t="shared" si="28"/>
        <v/>
      </c>
      <c r="E97" t="str">
        <f t="shared" si="29"/>
        <v/>
      </c>
      <c r="F97" t="str">
        <f t="shared" si="30"/>
        <v/>
      </c>
      <c r="G97">
        <f t="shared" si="17"/>
        <v>3.1666666666666661</v>
      </c>
      <c r="H97">
        <f t="shared" si="18"/>
        <v>-2.2028985507254184E-3</v>
      </c>
      <c r="I97">
        <f t="shared" si="19"/>
        <v>6.335536231884058</v>
      </c>
      <c r="J97" t="str">
        <f t="shared" si="20"/>
        <v/>
      </c>
      <c r="K97" s="216" t="str">
        <f t="shared" si="21"/>
        <v/>
      </c>
      <c r="L97" s="216" t="str">
        <f t="shared" si="22"/>
        <v/>
      </c>
      <c r="M97" s="216">
        <f t="shared" si="23"/>
        <v>68</v>
      </c>
      <c r="N97" s="255" t="str">
        <f t="shared" si="24"/>
        <v/>
      </c>
      <c r="O97" s="255" t="str">
        <f t="shared" si="25"/>
        <v/>
      </c>
      <c r="P97" s="255" t="str">
        <f t="shared" si="26"/>
        <v/>
      </c>
      <c r="Q97" s="255" t="str">
        <f t="shared" si="27"/>
        <v/>
      </c>
      <c r="R97" s="255" t="e">
        <f t="shared" si="16"/>
        <v>#N/A</v>
      </c>
    </row>
    <row r="98" spans="1:18">
      <c r="A98" s="215"/>
      <c r="B98" s="215"/>
      <c r="D98" t="str">
        <f t="shared" si="28"/>
        <v/>
      </c>
      <c r="E98" t="str">
        <f t="shared" si="29"/>
        <v/>
      </c>
      <c r="F98" t="str">
        <f t="shared" si="30"/>
        <v/>
      </c>
      <c r="G98">
        <f t="shared" si="17"/>
        <v>3.1666666666666661</v>
      </c>
      <c r="H98">
        <f t="shared" si="18"/>
        <v>-2.2028985507254184E-3</v>
      </c>
      <c r="I98">
        <f t="shared" si="19"/>
        <v>6.335536231884058</v>
      </c>
      <c r="J98" t="str">
        <f t="shared" si="20"/>
        <v/>
      </c>
      <c r="K98" s="216" t="str">
        <f t="shared" si="21"/>
        <v/>
      </c>
      <c r="L98" s="216" t="str">
        <f t="shared" si="22"/>
        <v/>
      </c>
      <c r="M98" s="216">
        <f t="shared" si="23"/>
        <v>69</v>
      </c>
      <c r="N98" s="255" t="str">
        <f t="shared" si="24"/>
        <v/>
      </c>
      <c r="O98" s="255" t="str">
        <f t="shared" si="25"/>
        <v/>
      </c>
      <c r="P98" s="255" t="str">
        <f t="shared" si="26"/>
        <v/>
      </c>
      <c r="Q98" s="255" t="str">
        <f t="shared" si="27"/>
        <v/>
      </c>
      <c r="R98" s="255" t="e">
        <f t="shared" si="16"/>
        <v>#N/A</v>
      </c>
    </row>
    <row r="99" spans="1:18">
      <c r="A99" s="215"/>
      <c r="B99" s="215"/>
      <c r="D99" t="str">
        <f t="shared" si="28"/>
        <v/>
      </c>
      <c r="E99" t="str">
        <f t="shared" si="29"/>
        <v/>
      </c>
      <c r="F99" t="str">
        <f t="shared" si="30"/>
        <v/>
      </c>
      <c r="G99">
        <f t="shared" si="17"/>
        <v>3.1666666666666661</v>
      </c>
      <c r="H99">
        <f t="shared" si="18"/>
        <v>-2.2028985507254184E-3</v>
      </c>
      <c r="I99">
        <f t="shared" si="19"/>
        <v>6.335536231884058</v>
      </c>
      <c r="J99" t="str">
        <f t="shared" si="20"/>
        <v/>
      </c>
      <c r="K99" s="216" t="str">
        <f t="shared" si="21"/>
        <v/>
      </c>
      <c r="L99" s="216" t="str">
        <f t="shared" si="22"/>
        <v/>
      </c>
      <c r="M99" s="216">
        <f t="shared" si="23"/>
        <v>70</v>
      </c>
      <c r="N99" s="255" t="str">
        <f t="shared" si="24"/>
        <v/>
      </c>
      <c r="O99" s="255" t="str">
        <f t="shared" si="25"/>
        <v/>
      </c>
      <c r="P99" s="255" t="str">
        <f t="shared" si="26"/>
        <v/>
      </c>
      <c r="Q99" s="255" t="str">
        <f t="shared" si="27"/>
        <v/>
      </c>
      <c r="R99" s="255" t="e">
        <f t="shared" si="16"/>
        <v>#N/A</v>
      </c>
    </row>
    <row r="100" spans="1:18">
      <c r="A100" s="215"/>
      <c r="B100" s="215"/>
      <c r="D100" t="str">
        <f t="shared" si="28"/>
        <v/>
      </c>
      <c r="E100" t="str">
        <f t="shared" si="29"/>
        <v/>
      </c>
      <c r="F100" t="str">
        <f t="shared" si="30"/>
        <v/>
      </c>
      <c r="G100">
        <f t="shared" si="17"/>
        <v>3.1666666666666661</v>
      </c>
      <c r="H100">
        <f t="shared" si="18"/>
        <v>-2.2028985507254184E-3</v>
      </c>
      <c r="I100">
        <f t="shared" si="19"/>
        <v>6.335536231884058</v>
      </c>
      <c r="J100" t="str">
        <f t="shared" si="20"/>
        <v/>
      </c>
      <c r="K100" s="216" t="str">
        <f t="shared" si="21"/>
        <v/>
      </c>
      <c r="L100" s="216" t="str">
        <f t="shared" si="22"/>
        <v/>
      </c>
      <c r="M100" s="216">
        <f t="shared" si="23"/>
        <v>71</v>
      </c>
      <c r="N100" s="255" t="str">
        <f t="shared" si="24"/>
        <v/>
      </c>
      <c r="O100" s="255" t="str">
        <f t="shared" si="25"/>
        <v/>
      </c>
      <c r="P100" s="255" t="str">
        <f t="shared" si="26"/>
        <v/>
      </c>
      <c r="Q100" s="255" t="str">
        <f t="shared" si="27"/>
        <v/>
      </c>
      <c r="R100" s="255" t="e">
        <f t="shared" si="16"/>
        <v>#N/A</v>
      </c>
    </row>
    <row r="101" spans="1:18">
      <c r="A101" s="215"/>
      <c r="B101" s="215"/>
      <c r="D101" t="str">
        <f t="shared" si="28"/>
        <v/>
      </c>
      <c r="E101" t="str">
        <f t="shared" si="29"/>
        <v/>
      </c>
      <c r="F101" t="str">
        <f t="shared" si="30"/>
        <v/>
      </c>
      <c r="G101">
        <f t="shared" si="17"/>
        <v>3.1666666666666661</v>
      </c>
      <c r="H101">
        <f t="shared" si="18"/>
        <v>-2.2028985507254184E-3</v>
      </c>
      <c r="I101">
        <f t="shared" si="19"/>
        <v>6.335536231884058</v>
      </c>
      <c r="J101" t="str">
        <f t="shared" si="20"/>
        <v/>
      </c>
      <c r="K101" s="216" t="str">
        <f t="shared" si="21"/>
        <v/>
      </c>
      <c r="L101" s="216" t="str">
        <f t="shared" si="22"/>
        <v/>
      </c>
      <c r="M101" s="216">
        <f t="shared" si="23"/>
        <v>72</v>
      </c>
      <c r="N101" s="255" t="str">
        <f t="shared" si="24"/>
        <v/>
      </c>
      <c r="O101" s="255" t="str">
        <f t="shared" si="25"/>
        <v/>
      </c>
      <c r="P101" s="255" t="str">
        <f t="shared" si="26"/>
        <v/>
      </c>
      <c r="Q101" s="255" t="str">
        <f t="shared" si="27"/>
        <v/>
      </c>
      <c r="R101" s="255" t="e">
        <f t="shared" si="16"/>
        <v>#N/A</v>
      </c>
    </row>
    <row r="102" spans="1:18">
      <c r="A102" s="215"/>
      <c r="B102" s="215"/>
      <c r="D102" t="str">
        <f t="shared" si="28"/>
        <v/>
      </c>
      <c r="E102" t="str">
        <f t="shared" si="29"/>
        <v/>
      </c>
      <c r="F102" t="str">
        <f t="shared" si="30"/>
        <v/>
      </c>
      <c r="G102">
        <f t="shared" si="17"/>
        <v>3.1666666666666661</v>
      </c>
      <c r="H102">
        <f t="shared" si="18"/>
        <v>-2.2028985507254184E-3</v>
      </c>
      <c r="I102">
        <f t="shared" si="19"/>
        <v>6.335536231884058</v>
      </c>
      <c r="J102" t="str">
        <f t="shared" si="20"/>
        <v/>
      </c>
      <c r="K102" s="216" t="str">
        <f t="shared" si="21"/>
        <v/>
      </c>
      <c r="L102" s="216" t="str">
        <f t="shared" si="22"/>
        <v/>
      </c>
      <c r="M102" s="216">
        <f t="shared" si="23"/>
        <v>73</v>
      </c>
      <c r="N102" s="255" t="str">
        <f t="shared" si="24"/>
        <v/>
      </c>
      <c r="O102" s="255" t="str">
        <f t="shared" si="25"/>
        <v/>
      </c>
      <c r="P102" s="255" t="str">
        <f t="shared" si="26"/>
        <v/>
      </c>
      <c r="Q102" s="255" t="str">
        <f t="shared" si="27"/>
        <v/>
      </c>
      <c r="R102" s="255" t="e">
        <f t="shared" ref="R102:R105" si="31">IF(COUNT(N102:Q102)&gt;0,B102,NA())</f>
        <v>#N/A</v>
      </c>
    </row>
    <row r="103" spans="1:18">
      <c r="A103" s="215"/>
      <c r="B103" s="215"/>
      <c r="D103" t="str">
        <f t="shared" si="28"/>
        <v/>
      </c>
      <c r="E103" t="str">
        <f t="shared" si="29"/>
        <v/>
      </c>
      <c r="F103" t="str">
        <f t="shared" si="30"/>
        <v/>
      </c>
      <c r="G103">
        <f t="shared" si="17"/>
        <v>3.1666666666666661</v>
      </c>
      <c r="H103">
        <f t="shared" si="18"/>
        <v>-2.2028985507254184E-3</v>
      </c>
      <c r="I103">
        <f t="shared" si="19"/>
        <v>6.335536231884058</v>
      </c>
      <c r="J103" t="str">
        <f t="shared" si="20"/>
        <v/>
      </c>
      <c r="K103" s="216" t="str">
        <f t="shared" si="21"/>
        <v/>
      </c>
      <c r="L103" s="216" t="str">
        <f t="shared" si="22"/>
        <v/>
      </c>
      <c r="M103" s="216">
        <f t="shared" si="23"/>
        <v>74</v>
      </c>
      <c r="N103" s="255" t="str">
        <f t="shared" si="24"/>
        <v/>
      </c>
      <c r="O103" s="255" t="str">
        <f t="shared" si="25"/>
        <v/>
      </c>
      <c r="P103" s="255" t="str">
        <f t="shared" si="26"/>
        <v/>
      </c>
      <c r="Q103" s="255" t="str">
        <f t="shared" si="27"/>
        <v/>
      </c>
      <c r="R103" s="255" t="e">
        <f t="shared" si="31"/>
        <v>#N/A</v>
      </c>
    </row>
    <row r="104" spans="1:18">
      <c r="A104" s="215"/>
      <c r="B104" s="215"/>
      <c r="D104" t="str">
        <f t="shared" si="28"/>
        <v/>
      </c>
      <c r="E104" t="str">
        <f t="shared" si="29"/>
        <v/>
      </c>
      <c r="F104" t="str">
        <f t="shared" si="30"/>
        <v/>
      </c>
      <c r="G104">
        <f t="shared" si="17"/>
        <v>3.1666666666666661</v>
      </c>
      <c r="H104">
        <f t="shared" si="18"/>
        <v>-2.2028985507254184E-3</v>
      </c>
      <c r="I104">
        <f t="shared" si="19"/>
        <v>6.335536231884058</v>
      </c>
      <c r="J104" t="str">
        <f t="shared" si="20"/>
        <v/>
      </c>
      <c r="K104" s="216" t="str">
        <f t="shared" si="21"/>
        <v/>
      </c>
      <c r="L104" s="216" t="str">
        <f t="shared" si="22"/>
        <v/>
      </c>
      <c r="M104" s="216">
        <f t="shared" si="23"/>
        <v>75</v>
      </c>
      <c r="N104" s="255" t="str">
        <f t="shared" si="24"/>
        <v/>
      </c>
      <c r="O104" s="255" t="str">
        <f t="shared" si="25"/>
        <v/>
      </c>
      <c r="P104" s="255" t="str">
        <f t="shared" si="26"/>
        <v/>
      </c>
      <c r="Q104" s="255" t="str">
        <f t="shared" si="27"/>
        <v/>
      </c>
      <c r="R104" s="255" t="e">
        <f t="shared" si="31"/>
        <v>#N/A</v>
      </c>
    </row>
    <row r="105" spans="1:18">
      <c r="A105" s="215"/>
      <c r="B105" s="215"/>
      <c r="D105" t="str">
        <f t="shared" si="28"/>
        <v/>
      </c>
      <c r="E105" t="str">
        <f t="shared" si="29"/>
        <v/>
      </c>
      <c r="F105" t="str">
        <f t="shared" si="30"/>
        <v/>
      </c>
      <c r="G105">
        <f t="shared" si="17"/>
        <v>3.1666666666666661</v>
      </c>
      <c r="H105">
        <f t="shared" si="18"/>
        <v>-2.2028985507254184E-3</v>
      </c>
      <c r="I105">
        <f t="shared" si="19"/>
        <v>6.335536231884058</v>
      </c>
      <c r="J105" t="str">
        <f t="shared" si="20"/>
        <v/>
      </c>
      <c r="K105" s="216" t="str">
        <f t="shared" si="21"/>
        <v/>
      </c>
      <c r="L105" s="216" t="str">
        <f t="shared" si="22"/>
        <v/>
      </c>
      <c r="M105" s="216">
        <f t="shared" si="23"/>
        <v>76</v>
      </c>
      <c r="N105" s="255" t="str">
        <f t="shared" si="24"/>
        <v/>
      </c>
      <c r="O105" s="255" t="str">
        <f t="shared" si="25"/>
        <v/>
      </c>
      <c r="P105" s="255" t="str">
        <f t="shared" si="26"/>
        <v/>
      </c>
      <c r="Q105" s="255" t="str">
        <f t="shared" si="27"/>
        <v/>
      </c>
      <c r="R105" s="255" t="e">
        <f t="shared" si="31"/>
        <v>#N/A</v>
      </c>
    </row>
  </sheetData>
  <mergeCells count="1">
    <mergeCell ref="A1:B3"/>
  </mergeCells>
  <conditionalFormatting sqref="N6:R105">
    <cfRule type="cellIs" dxfId="8" priority="1" operator="equal">
      <formula>$B6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B2:M20"/>
  <sheetViews>
    <sheetView showGridLines="0" zoomScale="115" zoomScaleNormal="115" workbookViewId="0">
      <selection activeCell="E1" sqref="E1"/>
    </sheetView>
  </sheetViews>
  <sheetFormatPr defaultRowHeight="15"/>
  <cols>
    <col min="1" max="1" width="2.28515625" customWidth="1"/>
    <col min="2" max="2" width="16.42578125" bestFit="1" customWidth="1"/>
    <col min="3" max="3" width="15.7109375" customWidth="1"/>
    <col min="4" max="4" width="4.7109375" customWidth="1"/>
    <col min="5" max="15" width="9.42578125" customWidth="1"/>
    <col min="16" max="16" width="7.85546875" customWidth="1"/>
  </cols>
  <sheetData>
    <row r="2" spans="2:13" ht="75">
      <c r="B2" s="4" t="s">
        <v>18</v>
      </c>
      <c r="C2" s="5" t="s">
        <v>19</v>
      </c>
      <c r="D2" s="2"/>
      <c r="L2" s="3" t="s">
        <v>18</v>
      </c>
      <c r="M2" s="2" t="s">
        <v>1</v>
      </c>
    </row>
    <row r="3" spans="2:13">
      <c r="B3" s="6" t="s">
        <v>2</v>
      </c>
      <c r="C3" s="7">
        <v>6.91</v>
      </c>
      <c r="D3" s="3"/>
      <c r="L3" t="s">
        <v>2</v>
      </c>
      <c r="M3" s="3">
        <v>6.91</v>
      </c>
    </row>
    <row r="4" spans="2:13">
      <c r="B4" s="6" t="s">
        <v>3</v>
      </c>
      <c r="C4" s="7">
        <v>3.32</v>
      </c>
      <c r="D4" s="3"/>
      <c r="L4" t="s">
        <v>8</v>
      </c>
      <c r="M4" s="3">
        <v>6.47</v>
      </c>
    </row>
    <row r="5" spans="2:13">
      <c r="B5" s="6" t="s">
        <v>4</v>
      </c>
      <c r="C5" s="7">
        <v>2.37</v>
      </c>
      <c r="D5" s="3"/>
      <c r="L5" t="s">
        <v>15</v>
      </c>
      <c r="M5" s="3">
        <v>6.47</v>
      </c>
    </row>
    <row r="6" spans="2:13">
      <c r="B6" s="6" t="s">
        <v>5</v>
      </c>
      <c r="C6" s="7">
        <v>3.99</v>
      </c>
      <c r="D6" s="3"/>
      <c r="L6" t="s">
        <v>14</v>
      </c>
      <c r="M6" s="3">
        <v>6.02</v>
      </c>
    </row>
    <row r="7" spans="2:13">
      <c r="B7" s="6" t="s">
        <v>6</v>
      </c>
      <c r="C7" s="7">
        <v>4.75</v>
      </c>
      <c r="D7" s="3"/>
      <c r="L7" t="s">
        <v>11</v>
      </c>
      <c r="M7" s="3">
        <v>5.79</v>
      </c>
    </row>
    <row r="8" spans="2:13">
      <c r="B8" s="6" t="s">
        <v>7</v>
      </c>
      <c r="C8" s="7">
        <v>4.72</v>
      </c>
      <c r="D8" s="3"/>
      <c r="L8" t="s">
        <v>16</v>
      </c>
      <c r="M8" s="3">
        <v>5.78</v>
      </c>
    </row>
    <row r="9" spans="2:13">
      <c r="B9" s="6" t="s">
        <v>8</v>
      </c>
      <c r="C9" s="7">
        <v>6.47</v>
      </c>
      <c r="D9" s="3"/>
      <c r="L9" t="s">
        <v>12</v>
      </c>
      <c r="M9" s="3">
        <v>4.9400000000000004</v>
      </c>
    </row>
    <row r="10" spans="2:13">
      <c r="B10" s="6" t="s">
        <v>9</v>
      </c>
      <c r="C10" s="7">
        <v>4.84</v>
      </c>
      <c r="D10" s="3"/>
      <c r="L10" t="s">
        <v>17</v>
      </c>
      <c r="M10" s="3">
        <v>4.93</v>
      </c>
    </row>
    <row r="11" spans="2:13">
      <c r="B11" s="6" t="s">
        <v>10</v>
      </c>
      <c r="C11" s="7">
        <v>4.5</v>
      </c>
      <c r="D11" s="3"/>
      <c r="L11" t="s">
        <v>9</v>
      </c>
      <c r="M11" s="3">
        <v>4.84</v>
      </c>
    </row>
    <row r="12" spans="2:13">
      <c r="B12" s="6" t="s">
        <v>11</v>
      </c>
      <c r="C12" s="7">
        <v>5.79</v>
      </c>
      <c r="D12" s="3"/>
      <c r="L12" t="s">
        <v>6</v>
      </c>
      <c r="M12" s="3">
        <v>4.75</v>
      </c>
    </row>
    <row r="13" spans="2:13">
      <c r="B13" s="6" t="s">
        <v>12</v>
      </c>
      <c r="C13" s="7">
        <v>4.9400000000000004</v>
      </c>
      <c r="D13" s="3"/>
      <c r="L13" t="s">
        <v>7</v>
      </c>
      <c r="M13" s="3">
        <v>4.72</v>
      </c>
    </row>
    <row r="14" spans="2:13">
      <c r="B14" s="6" t="s">
        <v>13</v>
      </c>
      <c r="C14" s="7">
        <v>3.84</v>
      </c>
      <c r="D14" s="3"/>
      <c r="L14" t="s">
        <v>10</v>
      </c>
      <c r="M14" s="3">
        <v>4.5</v>
      </c>
    </row>
    <row r="15" spans="2:13">
      <c r="B15" s="6" t="s">
        <v>14</v>
      </c>
      <c r="C15" s="7">
        <v>6.02</v>
      </c>
      <c r="D15" s="3"/>
      <c r="L15" t="s">
        <v>5</v>
      </c>
      <c r="M15" s="3">
        <v>3.99</v>
      </c>
    </row>
    <row r="16" spans="2:13">
      <c r="B16" s="6" t="s">
        <v>15</v>
      </c>
      <c r="C16" s="7">
        <v>6.47</v>
      </c>
      <c r="D16" s="3"/>
      <c r="L16" t="s">
        <v>13</v>
      </c>
      <c r="M16" s="3">
        <v>3.84</v>
      </c>
    </row>
    <row r="17" spans="2:13">
      <c r="B17" s="6" t="s">
        <v>16</v>
      </c>
      <c r="C17" s="7">
        <v>5.78</v>
      </c>
      <c r="D17" s="3"/>
      <c r="L17" t="s">
        <v>3</v>
      </c>
      <c r="M17" s="3">
        <v>3.32</v>
      </c>
    </row>
    <row r="18" spans="2:13">
      <c r="B18" s="6" t="s">
        <v>17</v>
      </c>
      <c r="C18" s="7">
        <v>4.93</v>
      </c>
      <c r="D18" s="3"/>
      <c r="L18" t="s">
        <v>4</v>
      </c>
      <c r="M18" s="3">
        <v>2.37</v>
      </c>
    </row>
    <row r="19" spans="2:13">
      <c r="C19" s="1"/>
    </row>
    <row r="20" spans="2:13">
      <c r="B20" s="6" t="s">
        <v>20</v>
      </c>
      <c r="C20" s="7">
        <f>AVERAGE(C3:C18)</f>
        <v>4.9774999999999991</v>
      </c>
    </row>
  </sheetData>
  <pageMargins left="0.7" right="0.7" top="0.75" bottom="0.75" header="0.3" footer="0.3"/>
  <pageSetup scale="85" orientation="landscape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B2:D18"/>
  <sheetViews>
    <sheetView showGridLines="0" workbookViewId="0">
      <selection activeCell="A31" sqref="A31"/>
    </sheetView>
  </sheetViews>
  <sheetFormatPr defaultRowHeight="15"/>
  <cols>
    <col min="1" max="1" width="4" customWidth="1"/>
    <col min="2" max="2" width="16.42578125" bestFit="1" customWidth="1"/>
    <col min="3" max="4" width="15.7109375" customWidth="1"/>
  </cols>
  <sheetData>
    <row r="2" spans="2:4" ht="45">
      <c r="B2" s="4" t="s">
        <v>18</v>
      </c>
      <c r="C2" s="5" t="s">
        <v>0</v>
      </c>
      <c r="D2" s="5" t="s">
        <v>21</v>
      </c>
    </row>
    <row r="3" spans="2:4">
      <c r="B3" s="6" t="s">
        <v>2</v>
      </c>
      <c r="C3" s="4">
        <v>1962</v>
      </c>
      <c r="D3" s="4">
        <v>6.91</v>
      </c>
    </row>
    <row r="4" spans="2:4">
      <c r="B4" s="6" t="s">
        <v>3</v>
      </c>
      <c r="C4" s="4">
        <v>1982</v>
      </c>
      <c r="D4" s="4">
        <v>3.32</v>
      </c>
    </row>
    <row r="5" spans="2:4">
      <c r="B5" s="6" t="s">
        <v>4</v>
      </c>
      <c r="C5" s="4">
        <v>1991</v>
      </c>
      <c r="D5" s="4">
        <v>2.37</v>
      </c>
    </row>
    <row r="6" spans="2:4">
      <c r="B6" s="6" t="s">
        <v>5</v>
      </c>
      <c r="C6" s="4">
        <v>1979</v>
      </c>
      <c r="D6" s="4">
        <v>3.99</v>
      </c>
    </row>
    <row r="7" spans="2:4">
      <c r="B7" s="6" t="s">
        <v>6</v>
      </c>
      <c r="C7" s="4">
        <v>1981</v>
      </c>
      <c r="D7" s="4">
        <v>4.75</v>
      </c>
    </row>
    <row r="8" spans="2:4">
      <c r="B8" s="6" t="s">
        <v>7</v>
      </c>
      <c r="C8" s="4">
        <v>1977</v>
      </c>
      <c r="D8" s="4">
        <v>4.72</v>
      </c>
    </row>
    <row r="9" spans="2:4">
      <c r="B9" s="6" t="s">
        <v>8</v>
      </c>
      <c r="C9" s="4">
        <v>1970</v>
      </c>
      <c r="D9" s="4">
        <v>6.47</v>
      </c>
    </row>
    <row r="10" spans="2:4">
      <c r="B10" s="6" t="s">
        <v>9</v>
      </c>
      <c r="C10" s="4">
        <v>1974</v>
      </c>
      <c r="D10" s="4">
        <v>4.84</v>
      </c>
    </row>
    <row r="11" spans="2:4">
      <c r="B11" s="6" t="s">
        <v>10</v>
      </c>
      <c r="C11" s="4">
        <v>1974</v>
      </c>
      <c r="D11" s="4">
        <v>4.5</v>
      </c>
    </row>
    <row r="12" spans="2:4">
      <c r="B12" s="6" t="s">
        <v>11</v>
      </c>
      <c r="C12" s="4">
        <v>1973</v>
      </c>
      <c r="D12" s="4">
        <v>5.79</v>
      </c>
    </row>
    <row r="13" spans="2:4">
      <c r="B13" s="6" t="s">
        <v>12</v>
      </c>
      <c r="C13" s="4">
        <v>1987</v>
      </c>
      <c r="D13" s="4">
        <v>4.9400000000000004</v>
      </c>
    </row>
    <row r="14" spans="2:4">
      <c r="B14" s="6" t="s">
        <v>13</v>
      </c>
      <c r="C14" s="4">
        <v>1981</v>
      </c>
      <c r="D14" s="4">
        <v>3.84</v>
      </c>
    </row>
    <row r="15" spans="2:4">
      <c r="B15" s="6" t="s">
        <v>14</v>
      </c>
      <c r="C15" s="4">
        <v>1963</v>
      </c>
      <c r="D15" s="4">
        <v>6.02</v>
      </c>
    </row>
    <row r="16" spans="2:4">
      <c r="B16" s="6" t="s">
        <v>15</v>
      </c>
      <c r="C16" s="4">
        <v>1974</v>
      </c>
      <c r="D16" s="4">
        <v>6.47</v>
      </c>
    </row>
    <row r="17" spans="2:4">
      <c r="B17" s="6" t="s">
        <v>16</v>
      </c>
      <c r="C17" s="4">
        <v>1973</v>
      </c>
      <c r="D17" s="4">
        <v>5.78</v>
      </c>
    </row>
    <row r="18" spans="2:4">
      <c r="B18" s="6" t="s">
        <v>17</v>
      </c>
      <c r="C18" s="4">
        <v>1969</v>
      </c>
      <c r="D18" s="4">
        <v>4.93</v>
      </c>
    </row>
  </sheetData>
  <pageMargins left="0.7" right="0.7" top="0.75" bottom="0.75" header="0.3" footer="0.3"/>
  <pageSetup scale="75" orientation="landscape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B2:O39"/>
  <sheetViews>
    <sheetView showGridLines="0" workbookViewId="0">
      <selection activeCell="A31" sqref="A31"/>
    </sheetView>
  </sheetViews>
  <sheetFormatPr defaultRowHeight="15"/>
  <cols>
    <col min="1" max="1" width="4" customWidth="1"/>
    <col min="2" max="2" width="16.42578125" bestFit="1" customWidth="1"/>
    <col min="3" max="4" width="15.7109375" customWidth="1"/>
  </cols>
  <sheetData>
    <row r="2" spans="2:4" ht="45">
      <c r="B2" s="4" t="s">
        <v>18</v>
      </c>
      <c r="C2" s="5" t="s">
        <v>0</v>
      </c>
      <c r="D2" s="5" t="s">
        <v>21</v>
      </c>
    </row>
    <row r="3" spans="2:4">
      <c r="B3" s="6" t="s">
        <v>2</v>
      </c>
      <c r="C3" s="4">
        <v>1962</v>
      </c>
      <c r="D3" s="4">
        <v>6.91</v>
      </c>
    </row>
    <row r="4" spans="2:4">
      <c r="B4" s="6" t="s">
        <v>3</v>
      </c>
      <c r="C4" s="4">
        <v>1982</v>
      </c>
      <c r="D4" s="4">
        <v>3.32</v>
      </c>
    </row>
    <row r="5" spans="2:4">
      <c r="B5" s="6" t="s">
        <v>4</v>
      </c>
      <c r="C5" s="4">
        <v>1991</v>
      </c>
      <c r="D5" s="4">
        <v>2.37</v>
      </c>
    </row>
    <row r="6" spans="2:4">
      <c r="B6" s="6" t="s">
        <v>5</v>
      </c>
      <c r="C6" s="4">
        <v>1979</v>
      </c>
      <c r="D6" s="4">
        <v>3.99</v>
      </c>
    </row>
    <row r="7" spans="2:4">
      <c r="B7" s="6" t="s">
        <v>6</v>
      </c>
      <c r="C7" s="4">
        <v>1981</v>
      </c>
      <c r="D7" s="4">
        <v>4.75</v>
      </c>
    </row>
    <row r="8" spans="2:4">
      <c r="B8" s="6" t="s">
        <v>7</v>
      </c>
      <c r="C8" s="4">
        <v>1977</v>
      </c>
      <c r="D8" s="4">
        <v>4.72</v>
      </c>
    </row>
    <row r="9" spans="2:4">
      <c r="B9" s="6" t="s">
        <v>8</v>
      </c>
      <c r="C9" s="4">
        <v>1970</v>
      </c>
      <c r="D9" s="4">
        <v>6.47</v>
      </c>
    </row>
    <row r="10" spans="2:4">
      <c r="B10" s="6" t="s">
        <v>9</v>
      </c>
      <c r="C10" s="4">
        <v>1974</v>
      </c>
      <c r="D10" s="4">
        <v>4.84</v>
      </c>
    </row>
    <row r="11" spans="2:4">
      <c r="B11" s="6" t="s">
        <v>10</v>
      </c>
      <c r="C11" s="4">
        <v>1974</v>
      </c>
      <c r="D11" s="4">
        <v>4.5</v>
      </c>
    </row>
    <row r="12" spans="2:4">
      <c r="B12" s="6" t="s">
        <v>11</v>
      </c>
      <c r="C12" s="4">
        <v>1973</v>
      </c>
      <c r="D12" s="4">
        <v>5.79</v>
      </c>
    </row>
    <row r="13" spans="2:4">
      <c r="B13" s="6" t="s">
        <v>12</v>
      </c>
      <c r="C13" s="4">
        <v>1987</v>
      </c>
      <c r="D13" s="4">
        <v>4.9400000000000004</v>
      </c>
    </row>
    <row r="14" spans="2:4">
      <c r="B14" s="6" t="s">
        <v>13</v>
      </c>
      <c r="C14" s="4">
        <v>1981</v>
      </c>
      <c r="D14" s="4">
        <v>3.84</v>
      </c>
    </row>
    <row r="15" spans="2:4">
      <c r="B15" s="6" t="s">
        <v>14</v>
      </c>
      <c r="C15" s="4">
        <v>1963</v>
      </c>
      <c r="D15" s="4">
        <v>6.02</v>
      </c>
    </row>
    <row r="16" spans="2:4">
      <c r="B16" s="6" t="s">
        <v>15</v>
      </c>
      <c r="C16" s="4">
        <v>1974</v>
      </c>
      <c r="D16" s="4">
        <v>6.47</v>
      </c>
    </row>
    <row r="17" spans="2:15">
      <c r="B17" s="6" t="s">
        <v>16</v>
      </c>
      <c r="C17" s="4">
        <v>1973</v>
      </c>
      <c r="D17" s="4">
        <v>5.78</v>
      </c>
    </row>
    <row r="18" spans="2:15">
      <c r="B18" s="6" t="s">
        <v>17</v>
      </c>
      <c r="C18" s="4">
        <v>1969</v>
      </c>
      <c r="D18" s="4">
        <v>4.93</v>
      </c>
    </row>
    <row r="19" spans="2:15" ht="15.75" thickBot="1"/>
    <row r="20" spans="2:15">
      <c r="B20" s="13"/>
      <c r="C20" s="21"/>
    </row>
    <row r="21" spans="2:15">
      <c r="B21" s="14" t="s">
        <v>22</v>
      </c>
      <c r="C21" s="22"/>
    </row>
    <row r="22" spans="2:15" ht="15.75" thickBot="1">
      <c r="B22" s="14"/>
      <c r="C22" s="22"/>
    </row>
    <row r="23" spans="2:15">
      <c r="B23" s="15" t="s">
        <v>23</v>
      </c>
      <c r="C23" s="24"/>
    </row>
    <row r="24" spans="2:15">
      <c r="B24" s="14" t="s">
        <v>24</v>
      </c>
      <c r="C24" s="22">
        <v>0.79713689272302035</v>
      </c>
    </row>
    <row r="25" spans="2:15">
      <c r="B25" s="16" t="s">
        <v>25</v>
      </c>
      <c r="C25" s="25">
        <v>0.63542722574011201</v>
      </c>
    </row>
    <row r="26" spans="2:15">
      <c r="B26" s="16" t="s">
        <v>26</v>
      </c>
      <c r="C26" s="25">
        <v>0.6093863132929771</v>
      </c>
    </row>
    <row r="27" spans="2:15">
      <c r="B27" s="14" t="s">
        <v>27</v>
      </c>
      <c r="C27" s="22">
        <v>0.76994386781459001</v>
      </c>
    </row>
    <row r="28" spans="2:15" ht="15.75" thickBot="1">
      <c r="B28" s="17" t="s">
        <v>28</v>
      </c>
      <c r="C28" s="23">
        <v>16</v>
      </c>
    </row>
    <row r="29" spans="2:15">
      <c r="B29" s="14"/>
      <c r="D29" s="20"/>
      <c r="E29" s="20"/>
      <c r="F29" s="20"/>
      <c r="G29" s="20"/>
      <c r="H29" s="20"/>
      <c r="I29" s="20"/>
      <c r="J29" s="20"/>
      <c r="K29" s="21"/>
      <c r="M29" s="26" t="s">
        <v>48</v>
      </c>
      <c r="N29" s="26"/>
      <c r="O29" s="26"/>
    </row>
    <row r="30" spans="2:15" ht="15.75" thickBot="1">
      <c r="B30" s="14" t="s">
        <v>29</v>
      </c>
      <c r="K30" s="22"/>
      <c r="M30" s="26" t="s">
        <v>49</v>
      </c>
      <c r="N30" s="26"/>
      <c r="O30" s="26"/>
    </row>
    <row r="31" spans="2:15">
      <c r="B31" s="18"/>
      <c r="C31" s="9" t="s">
        <v>34</v>
      </c>
      <c r="D31" s="9" t="s">
        <v>35</v>
      </c>
      <c r="E31" s="9" t="s">
        <v>36</v>
      </c>
      <c r="F31" s="9" t="s">
        <v>37</v>
      </c>
      <c r="G31" s="9" t="s">
        <v>38</v>
      </c>
      <c r="K31" s="22"/>
    </row>
    <row r="32" spans="2:15">
      <c r="B32" s="14" t="s">
        <v>30</v>
      </c>
      <c r="C32">
        <v>1</v>
      </c>
      <c r="D32">
        <v>14.465310165805928</v>
      </c>
      <c r="E32">
        <v>14.465310165805928</v>
      </c>
      <c r="F32">
        <v>24.401112174163647</v>
      </c>
      <c r="G32">
        <v>2.1755994215276944E-4</v>
      </c>
      <c r="K32" s="22"/>
    </row>
    <row r="33" spans="2:14">
      <c r="B33" s="14" t="s">
        <v>31</v>
      </c>
      <c r="C33">
        <v>14</v>
      </c>
      <c r="D33">
        <v>8.2993898341940735</v>
      </c>
      <c r="E33">
        <v>0.59281355958529092</v>
      </c>
      <c r="K33" s="22"/>
    </row>
    <row r="34" spans="2:14" ht="15.75" thickBot="1">
      <c r="B34" s="17" t="s">
        <v>32</v>
      </c>
      <c r="C34" s="8">
        <v>15</v>
      </c>
      <c r="D34" s="8">
        <v>22.764700000000001</v>
      </c>
      <c r="E34" s="8"/>
      <c r="F34" s="8"/>
      <c r="G34" s="8"/>
      <c r="K34" s="22"/>
      <c r="M34" s="26" t="s">
        <v>46</v>
      </c>
      <c r="N34" s="26"/>
    </row>
    <row r="35" spans="2:14" ht="15.75" thickBot="1">
      <c r="B35" s="14"/>
      <c r="K35" s="22"/>
      <c r="M35" s="26" t="s">
        <v>47</v>
      </c>
      <c r="N35" s="26"/>
    </row>
    <row r="36" spans="2:14">
      <c r="B36" s="18"/>
      <c r="C36" s="11" t="s">
        <v>39</v>
      </c>
      <c r="D36" s="9" t="s">
        <v>27</v>
      </c>
      <c r="E36" s="9" t="s">
        <v>40</v>
      </c>
      <c r="F36" s="11" t="s">
        <v>41</v>
      </c>
      <c r="G36" s="9" t="s">
        <v>42</v>
      </c>
      <c r="H36" s="9" t="s">
        <v>43</v>
      </c>
      <c r="I36" s="9" t="s">
        <v>44</v>
      </c>
      <c r="J36" s="9" t="s">
        <v>45</v>
      </c>
      <c r="K36" s="22"/>
    </row>
    <row r="37" spans="2:14">
      <c r="B37" s="16" t="s">
        <v>33</v>
      </c>
      <c r="C37" s="10">
        <v>252.73881081815702</v>
      </c>
      <c r="D37">
        <v>50.157037528242505</v>
      </c>
      <c r="E37">
        <v>5.0389501308932863</v>
      </c>
      <c r="F37" s="10">
        <v>1.8097825615011592E-4</v>
      </c>
      <c r="G37">
        <v>145.16266475501681</v>
      </c>
      <c r="H37">
        <v>360.31495688129723</v>
      </c>
      <c r="I37">
        <v>145.16266475501681</v>
      </c>
      <c r="J37">
        <v>360.31495688129723</v>
      </c>
      <c r="K37" s="22"/>
    </row>
    <row r="38" spans="2:14" ht="15.75" thickBot="1">
      <c r="B38" s="19" t="s">
        <v>0</v>
      </c>
      <c r="C38" s="12">
        <v>-0.12540907855395483</v>
      </c>
      <c r="D38" s="8">
        <v>2.5387747258937894E-2</v>
      </c>
      <c r="E38" s="8">
        <v>-4.9397481893476742</v>
      </c>
      <c r="F38" s="12">
        <v>2.1755994215276947E-4</v>
      </c>
      <c r="G38" s="8">
        <v>-0.1798603807426806</v>
      </c>
      <c r="H38" s="8">
        <v>-7.0957776365229083E-2</v>
      </c>
      <c r="I38" s="8">
        <v>-0.1798603807426806</v>
      </c>
      <c r="J38" s="8">
        <v>-7.0957776365229083E-2</v>
      </c>
      <c r="K38" s="22"/>
    </row>
    <row r="39" spans="2:14" ht="15.75" thickBot="1">
      <c r="B39" s="17"/>
      <c r="C39" s="8"/>
      <c r="D39" s="8"/>
      <c r="E39" s="8"/>
      <c r="F39" s="8"/>
      <c r="G39" s="8"/>
      <c r="H39" s="8"/>
      <c r="I39" s="8"/>
      <c r="J39" s="8"/>
      <c r="K39" s="23"/>
    </row>
  </sheetData>
  <pageMargins left="0.7" right="0.7" top="0.75" bottom="0.75" header="0.3" footer="0.3"/>
  <pageSetup scale="75" orientation="landscape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B2:E21"/>
  <sheetViews>
    <sheetView showGridLines="0" workbookViewId="0">
      <selection activeCell="E3" sqref="E3"/>
    </sheetView>
  </sheetViews>
  <sheetFormatPr defaultRowHeight="15"/>
  <cols>
    <col min="1" max="1" width="4" customWidth="1"/>
    <col min="2" max="2" width="16.42578125" bestFit="1" customWidth="1"/>
    <col min="3" max="4" width="15.7109375" customWidth="1"/>
    <col min="5" max="5" width="13.140625" customWidth="1"/>
  </cols>
  <sheetData>
    <row r="2" spans="2:5" ht="45">
      <c r="B2" s="4" t="s">
        <v>18</v>
      </c>
      <c r="C2" s="5" t="s">
        <v>0</v>
      </c>
      <c r="D2" s="5" t="s">
        <v>21</v>
      </c>
      <c r="E2" s="28" t="s">
        <v>50</v>
      </c>
    </row>
    <row r="3" spans="2:5">
      <c r="B3" s="6" t="s">
        <v>2</v>
      </c>
      <c r="C3" s="4">
        <v>1962</v>
      </c>
      <c r="D3" s="4">
        <v>6.91</v>
      </c>
      <c r="E3" s="27">
        <f>TREND($D$3:$D$18,$C$3:$C$18,C3)</f>
        <v>6.6861986952976338</v>
      </c>
    </row>
    <row r="4" spans="2:5">
      <c r="B4" s="6" t="s">
        <v>3</v>
      </c>
      <c r="C4" s="4">
        <v>1982</v>
      </c>
      <c r="D4" s="4">
        <v>3.32</v>
      </c>
      <c r="E4" s="27">
        <f t="shared" ref="E4:E18" si="0">TREND($D$3:$D$18,$C$3:$C$18,C4)</f>
        <v>4.1780171242185418</v>
      </c>
    </row>
    <row r="5" spans="2:5">
      <c r="B5" s="6" t="s">
        <v>4</v>
      </c>
      <c r="C5" s="4">
        <v>1991</v>
      </c>
      <c r="D5" s="4">
        <v>2.37</v>
      </c>
      <c r="E5" s="27">
        <f t="shared" si="0"/>
        <v>3.0493354172329532</v>
      </c>
    </row>
    <row r="6" spans="2:5">
      <c r="B6" s="6" t="s">
        <v>5</v>
      </c>
      <c r="C6" s="4">
        <v>1979</v>
      </c>
      <c r="D6" s="4">
        <v>3.99</v>
      </c>
      <c r="E6" s="27">
        <f t="shared" si="0"/>
        <v>4.5542443598804141</v>
      </c>
    </row>
    <row r="7" spans="2:5">
      <c r="B7" s="6" t="s">
        <v>6</v>
      </c>
      <c r="C7" s="4">
        <v>1981</v>
      </c>
      <c r="D7" s="4">
        <v>4.75</v>
      </c>
      <c r="E7" s="27">
        <f t="shared" si="0"/>
        <v>4.3034262027724992</v>
      </c>
    </row>
    <row r="8" spans="2:5">
      <c r="B8" s="6" t="s">
        <v>7</v>
      </c>
      <c r="C8" s="4">
        <v>1977</v>
      </c>
      <c r="D8" s="4">
        <v>4.72</v>
      </c>
      <c r="E8" s="27">
        <f t="shared" si="0"/>
        <v>4.805062516988329</v>
      </c>
    </row>
    <row r="9" spans="2:5">
      <c r="B9" s="6" t="s">
        <v>8</v>
      </c>
      <c r="C9" s="4">
        <v>1970</v>
      </c>
      <c r="D9" s="4">
        <v>6.47</v>
      </c>
      <c r="E9" s="27">
        <f t="shared" si="0"/>
        <v>5.6829260668660027</v>
      </c>
    </row>
    <row r="10" spans="2:5">
      <c r="B10" s="6" t="s">
        <v>9</v>
      </c>
      <c r="C10" s="4">
        <v>1974</v>
      </c>
      <c r="D10" s="4">
        <v>4.84</v>
      </c>
      <c r="E10" s="27">
        <f t="shared" si="0"/>
        <v>5.1812897526501729</v>
      </c>
    </row>
    <row r="11" spans="2:5">
      <c r="B11" s="6" t="s">
        <v>10</v>
      </c>
      <c r="C11" s="4">
        <v>1974</v>
      </c>
      <c r="D11" s="4">
        <v>4.5</v>
      </c>
      <c r="E11" s="27">
        <f t="shared" si="0"/>
        <v>5.1812897526501729</v>
      </c>
    </row>
    <row r="12" spans="2:5">
      <c r="B12" s="6" t="s">
        <v>11</v>
      </c>
      <c r="C12" s="4">
        <v>1973</v>
      </c>
      <c r="D12" s="4">
        <v>5.79</v>
      </c>
      <c r="E12" s="27">
        <f t="shared" si="0"/>
        <v>5.3066988312041303</v>
      </c>
    </row>
    <row r="13" spans="2:5">
      <c r="B13" s="6" t="s">
        <v>12</v>
      </c>
      <c r="C13" s="4">
        <v>1987</v>
      </c>
      <c r="D13" s="4">
        <v>4.9400000000000004</v>
      </c>
      <c r="E13" s="27">
        <f t="shared" si="0"/>
        <v>3.550971731448783</v>
      </c>
    </row>
    <row r="14" spans="2:5">
      <c r="B14" s="6" t="s">
        <v>13</v>
      </c>
      <c r="C14" s="4">
        <v>1981</v>
      </c>
      <c r="D14" s="4">
        <v>3.84</v>
      </c>
      <c r="E14" s="27">
        <f t="shared" si="0"/>
        <v>4.3034262027724992</v>
      </c>
    </row>
    <row r="15" spans="2:5">
      <c r="B15" s="6" t="s">
        <v>14</v>
      </c>
      <c r="C15" s="4">
        <v>1963</v>
      </c>
      <c r="D15" s="4">
        <v>6.02</v>
      </c>
      <c r="E15" s="27">
        <f t="shared" si="0"/>
        <v>6.5607896167436763</v>
      </c>
    </row>
    <row r="16" spans="2:5">
      <c r="B16" s="6" t="s">
        <v>15</v>
      </c>
      <c r="C16" s="4">
        <v>1974</v>
      </c>
      <c r="D16" s="4">
        <v>6.47</v>
      </c>
      <c r="E16" s="27">
        <f t="shared" si="0"/>
        <v>5.1812897526501729</v>
      </c>
    </row>
    <row r="17" spans="2:5">
      <c r="B17" s="6" t="s">
        <v>16</v>
      </c>
      <c r="C17" s="4">
        <v>1973</v>
      </c>
      <c r="D17" s="4">
        <v>5.78</v>
      </c>
      <c r="E17" s="27">
        <f t="shared" si="0"/>
        <v>5.3066988312041303</v>
      </c>
    </row>
    <row r="18" spans="2:5">
      <c r="B18" s="6" t="s">
        <v>17</v>
      </c>
      <c r="C18" s="4">
        <v>1969</v>
      </c>
      <c r="D18" s="4">
        <v>4.93</v>
      </c>
      <c r="E18" s="27">
        <f t="shared" si="0"/>
        <v>5.8083351454199601</v>
      </c>
    </row>
    <row r="21" spans="2:5">
      <c r="B21" t="s">
        <v>51</v>
      </c>
      <c r="C21" s="3">
        <v>1995</v>
      </c>
      <c r="E21" s="27">
        <f>TREND($D$3:$D$18,$C$3:$C$18,C21)</f>
        <v>2.5476991030171234</v>
      </c>
    </row>
  </sheetData>
  <printOptions headings="1"/>
  <pageMargins left="0.7" right="0.7" top="0.75" bottom="0.75" header="0.3" footer="0.3"/>
  <pageSetup scale="78" orientation="portrait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B1:G9"/>
  <sheetViews>
    <sheetView showGridLines="0" topLeftCell="A7" zoomScaleNormal="100" workbookViewId="0">
      <selection activeCell="M18" sqref="M18"/>
    </sheetView>
  </sheetViews>
  <sheetFormatPr defaultRowHeight="15"/>
  <cols>
    <col min="1" max="1" width="4" customWidth="1"/>
    <col min="2" max="7" width="15.85546875" customWidth="1"/>
    <col min="2000" max="2000" width="2.7109375" customWidth="1"/>
  </cols>
  <sheetData>
    <row r="1" spans="2:7" ht="18.75">
      <c r="B1" s="32" t="s">
        <v>58</v>
      </c>
      <c r="C1" s="29"/>
      <c r="D1" s="29"/>
      <c r="E1" s="29"/>
      <c r="F1" s="29"/>
      <c r="G1" s="29"/>
    </row>
    <row r="2" spans="2:7">
      <c r="C2" s="29"/>
      <c r="D2" s="29"/>
      <c r="E2" s="29"/>
      <c r="F2" s="29"/>
      <c r="G2" s="29"/>
    </row>
    <row r="3" spans="2:7">
      <c r="B3" s="4" t="s">
        <v>52</v>
      </c>
      <c r="C3" s="30" t="s">
        <v>53</v>
      </c>
      <c r="D3" s="30" t="s">
        <v>54</v>
      </c>
      <c r="E3" s="30" t="s">
        <v>55</v>
      </c>
      <c r="F3" s="30" t="s">
        <v>56</v>
      </c>
      <c r="G3" s="30" t="s">
        <v>57</v>
      </c>
    </row>
    <row r="4" spans="2:7">
      <c r="B4" s="4">
        <v>1</v>
      </c>
      <c r="C4" s="31">
        <v>16342318</v>
      </c>
      <c r="D4" s="31">
        <v>5879696</v>
      </c>
      <c r="E4" s="31">
        <v>786233</v>
      </c>
      <c r="F4" s="31">
        <v>470742</v>
      </c>
      <c r="G4" s="31">
        <v>23328989</v>
      </c>
    </row>
    <row r="5" spans="2:7">
      <c r="B5" s="4">
        <v>2</v>
      </c>
      <c r="C5" s="31">
        <v>18690329</v>
      </c>
      <c r="D5" s="31">
        <v>6424167</v>
      </c>
      <c r="E5" s="31">
        <v>689942</v>
      </c>
      <c r="F5" s="31">
        <v>589012</v>
      </c>
      <c r="G5" s="31">
        <v>26193450</v>
      </c>
    </row>
    <row r="6" spans="2:7">
      <c r="B6" s="4">
        <v>3</v>
      </c>
      <c r="C6" s="31">
        <v>21276968</v>
      </c>
      <c r="D6" s="31">
        <v>6974456</v>
      </c>
      <c r="E6" s="31">
        <v>563486</v>
      </c>
      <c r="F6" s="31">
        <v>436559</v>
      </c>
      <c r="G6" s="31">
        <v>29251469</v>
      </c>
    </row>
    <row r="7" spans="2:7">
      <c r="B7" s="4">
        <v>4</v>
      </c>
      <c r="C7" s="31">
        <v>21713205</v>
      </c>
      <c r="D7" s="31">
        <v>7654959</v>
      </c>
      <c r="E7" s="31">
        <v>572932</v>
      </c>
      <c r="F7" s="31">
        <v>339122</v>
      </c>
      <c r="G7" s="31">
        <v>30430218</v>
      </c>
    </row>
    <row r="8" spans="2:7">
      <c r="B8" s="4">
        <v>5</v>
      </c>
      <c r="C8" s="31">
        <v>23081521</v>
      </c>
      <c r="D8" s="31">
        <v>8456040</v>
      </c>
      <c r="E8" s="31">
        <v>675295</v>
      </c>
      <c r="F8" s="31">
        <v>569733</v>
      </c>
      <c r="G8" s="31">
        <v>32782589</v>
      </c>
    </row>
    <row r="9" spans="2:7">
      <c r="B9" s="4">
        <v>6</v>
      </c>
      <c r="C9" s="31">
        <v>25267247</v>
      </c>
      <c r="D9" s="31">
        <v>9138060</v>
      </c>
      <c r="E9" s="31">
        <v>783509</v>
      </c>
      <c r="F9" s="31">
        <v>682638</v>
      </c>
      <c r="G9" s="31">
        <v>35771454</v>
      </c>
    </row>
  </sheetData>
  <pageMargins left="0.7" right="0.7" top="0.75" bottom="0.75" header="0.3" footer="0.3"/>
  <pageSetup scale="92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R14"/>
  <sheetViews>
    <sheetView showGridLines="0" zoomScale="85" zoomScaleNormal="85" workbookViewId="0">
      <selection activeCell="O9" sqref="O9"/>
    </sheetView>
  </sheetViews>
  <sheetFormatPr defaultRowHeight="15"/>
  <cols>
    <col min="1" max="1" width="4" customWidth="1"/>
    <col min="2" max="7" width="15.85546875" customWidth="1"/>
    <col min="14" max="14" width="9.28515625" bestFit="1" customWidth="1"/>
    <col min="15" max="15" width="11.7109375" bestFit="1" customWidth="1"/>
    <col min="16" max="16" width="10.5703125" bestFit="1" customWidth="1"/>
    <col min="17" max="18" width="9.28515625" bestFit="1" customWidth="1"/>
  </cols>
  <sheetData>
    <row r="1" spans="2:18" ht="18.75">
      <c r="B1" s="32" t="s">
        <v>58</v>
      </c>
      <c r="C1" s="29"/>
      <c r="D1" s="29"/>
      <c r="E1" s="29"/>
      <c r="F1" s="29"/>
      <c r="G1" s="29"/>
      <c r="N1" s="37"/>
      <c r="O1" s="37"/>
      <c r="P1" s="37"/>
      <c r="Q1" s="37"/>
      <c r="R1" s="37"/>
    </row>
    <row r="2" spans="2:18">
      <c r="C2" s="29"/>
      <c r="D2" s="29"/>
      <c r="E2" s="29"/>
      <c r="F2" s="29"/>
      <c r="G2" s="29"/>
      <c r="N2" s="37"/>
      <c r="O2" s="38" t="s">
        <v>53</v>
      </c>
      <c r="P2" s="38" t="s">
        <v>54</v>
      </c>
      <c r="Q2" s="38" t="s">
        <v>55</v>
      </c>
      <c r="R2" s="38" t="s">
        <v>56</v>
      </c>
    </row>
    <row r="3" spans="2:18">
      <c r="B3" s="4" t="s">
        <v>52</v>
      </c>
      <c r="C3" s="30" t="s">
        <v>53</v>
      </c>
      <c r="D3" s="30" t="s">
        <v>54</v>
      </c>
      <c r="E3" s="30" t="s">
        <v>55</v>
      </c>
      <c r="F3" s="30" t="s">
        <v>56</v>
      </c>
      <c r="G3" s="30" t="s">
        <v>57</v>
      </c>
      <c r="N3" s="37">
        <v>1</v>
      </c>
      <c r="O3" s="37"/>
      <c r="P3" s="37"/>
      <c r="Q3" s="37"/>
      <c r="R3" s="37"/>
    </row>
    <row r="4" spans="2:18">
      <c r="B4" s="4">
        <v>1</v>
      </c>
      <c r="C4" s="31">
        <v>16342318</v>
      </c>
      <c r="D4" s="31">
        <v>5879696</v>
      </c>
      <c r="E4" s="31">
        <v>786233</v>
      </c>
      <c r="F4" s="31">
        <v>470742</v>
      </c>
      <c r="G4" s="31">
        <v>23328989</v>
      </c>
      <c r="N4" s="37">
        <v>2</v>
      </c>
      <c r="O4" s="37"/>
      <c r="P4" s="37"/>
      <c r="Q4" s="37"/>
      <c r="R4" s="37"/>
    </row>
    <row r="5" spans="2:18">
      <c r="B5" s="4">
        <v>2</v>
      </c>
      <c r="C5" s="31">
        <v>18690329</v>
      </c>
      <c r="D5" s="31">
        <v>6424167</v>
      </c>
      <c r="E5" s="31">
        <v>689942</v>
      </c>
      <c r="F5" s="31">
        <v>589012</v>
      </c>
      <c r="G5" s="31">
        <v>26193450</v>
      </c>
      <c r="N5" s="37">
        <v>3</v>
      </c>
      <c r="O5" s="37"/>
      <c r="P5" s="37"/>
      <c r="Q5" s="37"/>
      <c r="R5" s="37"/>
    </row>
    <row r="6" spans="2:18">
      <c r="B6" s="4">
        <v>3</v>
      </c>
      <c r="C6" s="31">
        <v>21276968</v>
      </c>
      <c r="D6" s="31">
        <v>6974456</v>
      </c>
      <c r="E6" s="31">
        <v>563486</v>
      </c>
      <c r="F6" s="31">
        <v>436559</v>
      </c>
      <c r="G6" s="31">
        <v>29251469</v>
      </c>
      <c r="N6" s="37">
        <v>4</v>
      </c>
      <c r="O6" s="37"/>
      <c r="P6" s="37"/>
      <c r="Q6" s="37"/>
      <c r="R6" s="37"/>
    </row>
    <row r="7" spans="2:18">
      <c r="B7" s="4">
        <v>4</v>
      </c>
      <c r="C7" s="31">
        <v>21713205</v>
      </c>
      <c r="D7" s="31">
        <v>7654959</v>
      </c>
      <c r="E7" s="31">
        <v>572932</v>
      </c>
      <c r="F7" s="31">
        <v>339122</v>
      </c>
      <c r="G7" s="31">
        <v>30430218</v>
      </c>
      <c r="N7" s="37">
        <v>5</v>
      </c>
      <c r="O7" s="37"/>
      <c r="P7" s="37"/>
      <c r="Q7" s="37"/>
      <c r="R7" s="37"/>
    </row>
    <row r="8" spans="2:18">
      <c r="B8" s="4">
        <v>5</v>
      </c>
      <c r="C8" s="31">
        <v>23081521</v>
      </c>
      <c r="D8" s="31">
        <v>8456040</v>
      </c>
      <c r="E8" s="31">
        <v>675295</v>
      </c>
      <c r="F8" s="31">
        <v>569733</v>
      </c>
      <c r="G8" s="31">
        <v>32782589</v>
      </c>
      <c r="N8" s="37">
        <v>6</v>
      </c>
      <c r="O8" s="37"/>
      <c r="P8" s="37"/>
      <c r="Q8" s="37"/>
      <c r="R8" s="37"/>
    </row>
    <row r="9" spans="2:18">
      <c r="B9" s="4">
        <v>6</v>
      </c>
      <c r="C9" s="31">
        <v>25267247</v>
      </c>
      <c r="D9" s="31">
        <v>9138060</v>
      </c>
      <c r="E9" s="31">
        <v>783509</v>
      </c>
      <c r="F9" s="31">
        <v>682638</v>
      </c>
      <c r="G9" s="31">
        <v>35771454</v>
      </c>
      <c r="N9" s="37">
        <v>7</v>
      </c>
      <c r="O9" s="39">
        <v>26102086</v>
      </c>
      <c r="P9" s="39">
        <v>9594569</v>
      </c>
      <c r="Q9" s="39">
        <v>991081</v>
      </c>
      <c r="R9" s="39">
        <v>368073</v>
      </c>
    </row>
    <row r="10" spans="2:18">
      <c r="B10" s="3"/>
      <c r="C10" s="33"/>
      <c r="D10" s="33"/>
      <c r="E10" s="33"/>
      <c r="F10" s="33"/>
      <c r="G10" s="33"/>
      <c r="O10" s="33"/>
      <c r="P10" s="33"/>
      <c r="Q10" s="33"/>
      <c r="R10" s="33"/>
    </row>
    <row r="11" spans="2:18">
      <c r="B11" s="35" t="s">
        <v>60</v>
      </c>
      <c r="C11" s="31">
        <f>TREND(C$4:C$9,$B$4:$B$9,7)</f>
        <v>26885377.133333333</v>
      </c>
      <c r="D11" s="31">
        <f>TREND(D$4:D$9,$B$4:$B$9,7)</f>
        <v>9728023.8666666672</v>
      </c>
      <c r="E11" s="31">
        <f>TREND(E$4:E$9,$B$4:$B$9,7)</f>
        <v>673754.66666666663</v>
      </c>
      <c r="F11" s="31">
        <f>TREND(F$4:F$9,$B$4:$B$9,7)</f>
        <v>605054.93333333335</v>
      </c>
      <c r="G11" s="33"/>
      <c r="O11" s="33"/>
      <c r="P11" s="33"/>
      <c r="Q11" s="33"/>
      <c r="R11" s="33"/>
    </row>
    <row r="12" spans="2:18">
      <c r="B12" s="35" t="s">
        <v>59</v>
      </c>
      <c r="C12" s="31">
        <v>26102086</v>
      </c>
      <c r="D12" s="31">
        <v>9594569</v>
      </c>
      <c r="E12" s="31">
        <v>991081</v>
      </c>
      <c r="F12" s="31">
        <v>368073</v>
      </c>
      <c r="G12" s="33"/>
      <c r="O12" s="33"/>
      <c r="P12" s="33"/>
      <c r="Q12" s="33"/>
      <c r="R12" s="33"/>
    </row>
    <row r="13" spans="2:18">
      <c r="B13" s="36" t="s">
        <v>61</v>
      </c>
      <c r="C13" s="34">
        <f>+C11/C12-1</f>
        <v>3.0008756132875014E-2</v>
      </c>
      <c r="D13" s="34">
        <f>+D11/D12-1</f>
        <v>1.3909417574324401E-2</v>
      </c>
      <c r="E13" s="34">
        <f>+E11/E12-1</f>
        <v>-0.32018203692062841</v>
      </c>
      <c r="F13" s="34">
        <f>+F11/F12-1</f>
        <v>0.64384492568955975</v>
      </c>
      <c r="G13" s="33"/>
      <c r="O13" s="33"/>
      <c r="P13" s="33"/>
      <c r="Q13" s="33"/>
      <c r="R13" s="33"/>
    </row>
    <row r="14" spans="2:18">
      <c r="G14" s="33"/>
      <c r="O14" s="33"/>
      <c r="P14" s="33"/>
      <c r="Q14" s="33"/>
      <c r="R14" s="33"/>
    </row>
  </sheetData>
  <pageMargins left="0.7" right="0.7" top="0.75" bottom="0.75" header="0.3" footer="0.3"/>
  <pageSetup scale="86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B47AA-EEA0-45B1-B89B-ADB747A7E851}">
  <dimension ref="A1:D90"/>
  <sheetViews>
    <sheetView zoomScale="85" zoomScaleNormal="85" workbookViewId="0">
      <selection activeCell="D17" sqref="D17"/>
    </sheetView>
  </sheetViews>
  <sheetFormatPr defaultRowHeight="12.75"/>
  <cols>
    <col min="1" max="3" width="9.140625" style="136"/>
    <col min="4" max="4" width="15" style="136" bestFit="1" customWidth="1"/>
    <col min="5" max="16384" width="9.140625" style="136"/>
  </cols>
  <sheetData>
    <row r="1" spans="1:4">
      <c r="A1" s="136" t="s">
        <v>372</v>
      </c>
    </row>
    <row r="3" spans="1:4">
      <c r="A3" s="136" t="s">
        <v>52</v>
      </c>
      <c r="B3" s="136" t="s">
        <v>373</v>
      </c>
      <c r="C3" s="136" t="s">
        <v>271</v>
      </c>
      <c r="D3" s="136" t="s">
        <v>374</v>
      </c>
    </row>
    <row r="4" spans="1:4" ht="15">
      <c r="A4" s="136">
        <v>2012</v>
      </c>
      <c r="B4" s="136">
        <v>7</v>
      </c>
      <c r="C4" s="263">
        <f>DATE(A4,B4,1)</f>
        <v>41091</v>
      </c>
      <c r="D4" s="264">
        <v>225102419</v>
      </c>
    </row>
    <row r="5" spans="1:4" ht="15">
      <c r="A5" s="136">
        <f>IF(B5=1,A4+1,A4)</f>
        <v>2012</v>
      </c>
      <c r="B5" s="136">
        <v>8</v>
      </c>
      <c r="C5" s="263">
        <f t="shared" ref="C5:C68" si="0">DATE(A5,B5,1)</f>
        <v>41122</v>
      </c>
      <c r="D5" s="264">
        <v>211095648</v>
      </c>
    </row>
    <row r="6" spans="1:4" ht="15">
      <c r="A6" s="136">
        <f t="shared" ref="A6:A69" si="1">IF(B6=1,A5+1,A5)</f>
        <v>2012</v>
      </c>
      <c r="B6" s="136">
        <v>9</v>
      </c>
      <c r="C6" s="263">
        <f t="shared" si="0"/>
        <v>41153</v>
      </c>
      <c r="D6" s="264">
        <v>207849158</v>
      </c>
    </row>
    <row r="7" spans="1:4" ht="15">
      <c r="A7" s="136">
        <f t="shared" si="1"/>
        <v>2012</v>
      </c>
      <c r="B7" s="136">
        <v>10</v>
      </c>
      <c r="C7" s="263">
        <f t="shared" si="0"/>
        <v>41183</v>
      </c>
      <c r="D7" s="264">
        <v>211911880</v>
      </c>
    </row>
    <row r="8" spans="1:4" ht="15">
      <c r="A8" s="136">
        <f t="shared" si="1"/>
        <v>2012</v>
      </c>
      <c r="B8" s="136">
        <v>11</v>
      </c>
      <c r="C8" s="263">
        <f t="shared" si="0"/>
        <v>41214</v>
      </c>
      <c r="D8" s="264">
        <v>203018112</v>
      </c>
    </row>
    <row r="9" spans="1:4" ht="15">
      <c r="A9" s="136">
        <f t="shared" si="1"/>
        <v>2012</v>
      </c>
      <c r="B9" s="136">
        <v>12</v>
      </c>
      <c r="C9" s="263">
        <f t="shared" si="0"/>
        <v>41244</v>
      </c>
      <c r="D9" s="264">
        <v>204267215</v>
      </c>
    </row>
    <row r="10" spans="1:4" ht="15">
      <c r="A10" s="136">
        <f t="shared" si="1"/>
        <v>2013</v>
      </c>
      <c r="B10" s="136">
        <v>1</v>
      </c>
      <c r="C10" s="263">
        <f t="shared" si="0"/>
        <v>41275</v>
      </c>
      <c r="D10" s="264">
        <v>244090250</v>
      </c>
    </row>
    <row r="11" spans="1:4" ht="15">
      <c r="A11" s="136">
        <f t="shared" si="1"/>
        <v>2013</v>
      </c>
      <c r="B11" s="136">
        <v>2</v>
      </c>
      <c r="C11" s="263">
        <f t="shared" si="0"/>
        <v>41306</v>
      </c>
      <c r="D11" s="264">
        <v>191441774</v>
      </c>
    </row>
    <row r="12" spans="1:4" ht="15">
      <c r="A12" s="136">
        <f t="shared" si="1"/>
        <v>2013</v>
      </c>
      <c r="B12" s="136">
        <v>3</v>
      </c>
      <c r="C12" s="263">
        <f t="shared" si="0"/>
        <v>41334</v>
      </c>
      <c r="D12" s="264">
        <v>205816312</v>
      </c>
    </row>
    <row r="13" spans="1:4" ht="15">
      <c r="A13" s="136">
        <f t="shared" si="1"/>
        <v>2013</v>
      </c>
      <c r="B13" s="136">
        <v>4</v>
      </c>
      <c r="C13" s="263">
        <f t="shared" si="0"/>
        <v>41365</v>
      </c>
      <c r="D13" s="264">
        <v>225710689</v>
      </c>
    </row>
    <row r="14" spans="1:4" ht="15">
      <c r="A14" s="136">
        <f t="shared" si="1"/>
        <v>2013</v>
      </c>
      <c r="B14" s="136">
        <v>5</v>
      </c>
      <c r="C14" s="263">
        <f t="shared" si="0"/>
        <v>41395</v>
      </c>
      <c r="D14" s="264">
        <v>216781296</v>
      </c>
    </row>
    <row r="15" spans="1:4" ht="15">
      <c r="A15" s="136">
        <f t="shared" si="1"/>
        <v>2013</v>
      </c>
      <c r="B15" s="136">
        <v>6</v>
      </c>
      <c r="C15" s="263">
        <f t="shared" si="0"/>
        <v>41426</v>
      </c>
      <c r="D15" s="264">
        <v>218142453</v>
      </c>
    </row>
    <row r="16" spans="1:4" ht="15">
      <c r="A16" s="136">
        <f t="shared" si="1"/>
        <v>2013</v>
      </c>
      <c r="B16" s="136">
        <f>B4</f>
        <v>7</v>
      </c>
      <c r="C16" s="263">
        <f t="shared" si="0"/>
        <v>41456</v>
      </c>
      <c r="D16" s="264">
        <v>234989704</v>
      </c>
    </row>
    <row r="17" spans="1:4" ht="15">
      <c r="A17" s="136">
        <f t="shared" si="1"/>
        <v>2013</v>
      </c>
      <c r="B17" s="136">
        <f t="shared" ref="B17:B80" si="2">B5</f>
        <v>8</v>
      </c>
      <c r="C17" s="263">
        <f t="shared" si="0"/>
        <v>41487</v>
      </c>
      <c r="D17" s="264">
        <v>216849167</v>
      </c>
    </row>
    <row r="18" spans="1:4" ht="15">
      <c r="A18" s="136">
        <f t="shared" si="1"/>
        <v>2013</v>
      </c>
      <c r="B18" s="136">
        <f t="shared" si="2"/>
        <v>9</v>
      </c>
      <c r="C18" s="263">
        <f t="shared" si="0"/>
        <v>41518</v>
      </c>
      <c r="D18" s="264">
        <v>222844593</v>
      </c>
    </row>
    <row r="19" spans="1:4" ht="15">
      <c r="A19" s="136">
        <f t="shared" si="1"/>
        <v>2013</v>
      </c>
      <c r="B19" s="136">
        <f t="shared" si="2"/>
        <v>10</v>
      </c>
      <c r="C19" s="263">
        <f t="shared" si="0"/>
        <v>41548</v>
      </c>
      <c r="D19" s="264">
        <v>223355308</v>
      </c>
    </row>
    <row r="20" spans="1:4" ht="15">
      <c r="A20" s="136">
        <f t="shared" si="1"/>
        <v>2013</v>
      </c>
      <c r="B20" s="136">
        <f t="shared" si="2"/>
        <v>11</v>
      </c>
      <c r="C20" s="263">
        <f t="shared" si="0"/>
        <v>41579</v>
      </c>
      <c r="D20" s="264">
        <v>216321942</v>
      </c>
    </row>
    <row r="21" spans="1:4" ht="15">
      <c r="A21" s="136">
        <f t="shared" si="1"/>
        <v>2013</v>
      </c>
      <c r="B21" s="136">
        <f t="shared" si="2"/>
        <v>12</v>
      </c>
      <c r="C21" s="263">
        <f t="shared" si="0"/>
        <v>41609</v>
      </c>
      <c r="D21" s="264">
        <v>218948673</v>
      </c>
    </row>
    <row r="22" spans="1:4" ht="15">
      <c r="A22" s="136">
        <f t="shared" si="1"/>
        <v>2014</v>
      </c>
      <c r="B22" s="136">
        <f t="shared" si="2"/>
        <v>1</v>
      </c>
      <c r="C22" s="263">
        <f t="shared" si="0"/>
        <v>41640</v>
      </c>
      <c r="D22" s="264">
        <v>252722034</v>
      </c>
    </row>
    <row r="23" spans="1:4" ht="15">
      <c r="A23" s="136">
        <f t="shared" si="1"/>
        <v>2014</v>
      </c>
      <c r="B23" s="136">
        <f t="shared" si="2"/>
        <v>2</v>
      </c>
      <c r="C23" s="263">
        <f t="shared" si="0"/>
        <v>41671</v>
      </c>
      <c r="D23" s="264">
        <v>197439432</v>
      </c>
    </row>
    <row r="24" spans="1:4" ht="15">
      <c r="A24" s="136">
        <f t="shared" si="1"/>
        <v>2014</v>
      </c>
      <c r="B24" s="136">
        <f t="shared" si="2"/>
        <v>3</v>
      </c>
      <c r="C24" s="263">
        <f t="shared" si="0"/>
        <v>41699</v>
      </c>
      <c r="D24" s="264">
        <v>203599164</v>
      </c>
    </row>
    <row r="25" spans="1:4" ht="15">
      <c r="A25" s="136">
        <f t="shared" si="1"/>
        <v>2014</v>
      </c>
      <c r="B25" s="136">
        <f t="shared" si="2"/>
        <v>4</v>
      </c>
      <c r="C25" s="263">
        <f t="shared" si="0"/>
        <v>41730</v>
      </c>
      <c r="D25" s="264">
        <v>239529087</v>
      </c>
    </row>
    <row r="26" spans="1:4" ht="15">
      <c r="A26" s="136">
        <f t="shared" si="1"/>
        <v>2014</v>
      </c>
      <c r="B26" s="136">
        <f t="shared" si="2"/>
        <v>5</v>
      </c>
      <c r="C26" s="263">
        <f t="shared" si="0"/>
        <v>41760</v>
      </c>
      <c r="D26" s="264">
        <v>232077028</v>
      </c>
    </row>
    <row r="27" spans="1:4" ht="15">
      <c r="A27" s="136">
        <f t="shared" si="1"/>
        <v>2014</v>
      </c>
      <c r="B27" s="136">
        <f t="shared" si="2"/>
        <v>6</v>
      </c>
      <c r="C27" s="263">
        <f t="shared" si="0"/>
        <v>41791</v>
      </c>
      <c r="D27" s="264">
        <v>241672586</v>
      </c>
    </row>
    <row r="28" spans="1:4" ht="15">
      <c r="A28" s="136">
        <f t="shared" si="1"/>
        <v>2014</v>
      </c>
      <c r="B28" s="136">
        <f t="shared" si="2"/>
        <v>7</v>
      </c>
      <c r="C28" s="263">
        <f t="shared" si="0"/>
        <v>41821</v>
      </c>
      <c r="D28" s="264">
        <v>257413917</v>
      </c>
    </row>
    <row r="29" spans="1:4" ht="15">
      <c r="A29" s="136">
        <f t="shared" si="1"/>
        <v>2014</v>
      </c>
      <c r="B29" s="136">
        <f t="shared" si="2"/>
        <v>8</v>
      </c>
      <c r="C29" s="263">
        <f t="shared" si="0"/>
        <v>41852</v>
      </c>
      <c r="D29" s="264">
        <v>236540878</v>
      </c>
    </row>
    <row r="30" spans="1:4" ht="15">
      <c r="A30" s="136">
        <f t="shared" si="1"/>
        <v>2014</v>
      </c>
      <c r="B30" s="136">
        <f t="shared" si="2"/>
        <v>9</v>
      </c>
      <c r="C30" s="263">
        <f t="shared" si="0"/>
        <v>41883</v>
      </c>
      <c r="D30" s="264">
        <v>241975753</v>
      </c>
    </row>
    <row r="31" spans="1:4" ht="15">
      <c r="A31" s="136">
        <f t="shared" si="1"/>
        <v>2014</v>
      </c>
      <c r="B31" s="136">
        <f t="shared" si="2"/>
        <v>10</v>
      </c>
      <c r="C31" s="263">
        <f t="shared" si="0"/>
        <v>41913</v>
      </c>
      <c r="D31" s="264">
        <v>247423711</v>
      </c>
    </row>
    <row r="32" spans="1:4" ht="15">
      <c r="A32" s="136">
        <f t="shared" si="1"/>
        <v>2014</v>
      </c>
      <c r="B32" s="136">
        <f t="shared" si="2"/>
        <v>11</v>
      </c>
      <c r="C32" s="263">
        <f t="shared" si="0"/>
        <v>41944</v>
      </c>
      <c r="D32" s="264">
        <v>242549522</v>
      </c>
    </row>
    <row r="33" spans="1:4" ht="15">
      <c r="A33" s="136">
        <f t="shared" si="1"/>
        <v>2014</v>
      </c>
      <c r="B33" s="136">
        <f t="shared" si="2"/>
        <v>12</v>
      </c>
      <c r="C33" s="263">
        <f t="shared" si="0"/>
        <v>41974</v>
      </c>
      <c r="D33" s="264">
        <v>234836033</v>
      </c>
    </row>
    <row r="34" spans="1:4" ht="15">
      <c r="A34" s="136">
        <f t="shared" si="1"/>
        <v>2015</v>
      </c>
      <c r="B34" s="136">
        <f t="shared" si="2"/>
        <v>1</v>
      </c>
      <c r="C34" s="263">
        <f t="shared" si="0"/>
        <v>42005</v>
      </c>
      <c r="D34" s="264">
        <v>281127868</v>
      </c>
    </row>
    <row r="35" spans="1:4" ht="15">
      <c r="A35" s="136">
        <f t="shared" si="1"/>
        <v>2015</v>
      </c>
      <c r="B35" s="136">
        <f t="shared" si="2"/>
        <v>2</v>
      </c>
      <c r="C35" s="263">
        <f t="shared" si="0"/>
        <v>42036</v>
      </c>
      <c r="D35" s="264">
        <v>217159450</v>
      </c>
    </row>
    <row r="36" spans="1:4" ht="15">
      <c r="A36" s="136">
        <f t="shared" si="1"/>
        <v>2015</v>
      </c>
      <c r="B36" s="136">
        <f t="shared" si="2"/>
        <v>3</v>
      </c>
      <c r="C36" s="263">
        <f t="shared" si="0"/>
        <v>42064</v>
      </c>
      <c r="D36" s="264">
        <v>220883091</v>
      </c>
    </row>
    <row r="37" spans="1:4" ht="15">
      <c r="A37" s="136">
        <f t="shared" si="1"/>
        <v>2015</v>
      </c>
      <c r="B37" s="136">
        <f t="shared" si="2"/>
        <v>4</v>
      </c>
      <c r="C37" s="263">
        <f t="shared" si="0"/>
        <v>42095</v>
      </c>
      <c r="D37" s="264">
        <v>249729090</v>
      </c>
    </row>
    <row r="38" spans="1:4" ht="15">
      <c r="A38" s="136">
        <f t="shared" si="1"/>
        <v>2015</v>
      </c>
      <c r="B38" s="136">
        <f t="shared" si="2"/>
        <v>5</v>
      </c>
      <c r="C38" s="263">
        <f t="shared" si="0"/>
        <v>42125</v>
      </c>
      <c r="D38" s="264">
        <v>246271262</v>
      </c>
    </row>
    <row r="39" spans="1:4" ht="15">
      <c r="A39" s="136">
        <f t="shared" si="1"/>
        <v>2015</v>
      </c>
      <c r="B39" s="136">
        <f t="shared" si="2"/>
        <v>6</v>
      </c>
      <c r="C39" s="263">
        <f t="shared" si="0"/>
        <v>42156</v>
      </c>
      <c r="D39" s="264">
        <v>258980356</v>
      </c>
    </row>
    <row r="40" spans="1:4" ht="15">
      <c r="A40" s="136">
        <f t="shared" si="1"/>
        <v>2015</v>
      </c>
      <c r="B40" s="136">
        <f t="shared" si="2"/>
        <v>7</v>
      </c>
      <c r="C40" s="263">
        <f t="shared" si="0"/>
        <v>42186</v>
      </c>
      <c r="D40" s="264">
        <v>266737704</v>
      </c>
    </row>
    <row r="41" spans="1:4" ht="15">
      <c r="A41" s="136">
        <f t="shared" si="1"/>
        <v>2015</v>
      </c>
      <c r="B41" s="136">
        <f t="shared" si="2"/>
        <v>8</v>
      </c>
      <c r="C41" s="263">
        <f t="shared" si="0"/>
        <v>42217</v>
      </c>
      <c r="D41" s="264">
        <v>258755137</v>
      </c>
    </row>
    <row r="42" spans="1:4" ht="15">
      <c r="A42" s="136">
        <f t="shared" si="1"/>
        <v>2015</v>
      </c>
      <c r="B42" s="136">
        <f t="shared" si="2"/>
        <v>9</v>
      </c>
      <c r="C42" s="263">
        <f t="shared" si="0"/>
        <v>42248</v>
      </c>
      <c r="D42" s="264">
        <v>261376288</v>
      </c>
    </row>
    <row r="43" spans="1:4" ht="15">
      <c r="A43" s="136">
        <f t="shared" si="1"/>
        <v>2015</v>
      </c>
      <c r="B43" s="136">
        <f t="shared" si="2"/>
        <v>10</v>
      </c>
      <c r="C43" s="263">
        <f t="shared" si="0"/>
        <v>42278</v>
      </c>
      <c r="D43" s="264">
        <v>258424874</v>
      </c>
    </row>
    <row r="44" spans="1:4" ht="15">
      <c r="A44" s="136">
        <f t="shared" si="1"/>
        <v>2015</v>
      </c>
      <c r="B44" s="136">
        <f t="shared" si="2"/>
        <v>11</v>
      </c>
      <c r="C44" s="263">
        <f t="shared" si="0"/>
        <v>42309</v>
      </c>
      <c r="D44" s="264">
        <v>251711319</v>
      </c>
    </row>
    <row r="45" spans="1:4" ht="15">
      <c r="A45" s="136">
        <f t="shared" si="1"/>
        <v>2015</v>
      </c>
      <c r="B45" s="136">
        <f t="shared" si="2"/>
        <v>12</v>
      </c>
      <c r="C45" s="263">
        <f t="shared" si="0"/>
        <v>42339</v>
      </c>
      <c r="D45" s="264">
        <v>247829051</v>
      </c>
    </row>
    <row r="46" spans="1:4" ht="15">
      <c r="A46" s="136">
        <f t="shared" si="1"/>
        <v>2016</v>
      </c>
      <c r="B46" s="136">
        <f t="shared" si="2"/>
        <v>1</v>
      </c>
      <c r="C46" s="263">
        <f t="shared" si="0"/>
        <v>42370</v>
      </c>
      <c r="D46" s="264">
        <v>298211127</v>
      </c>
    </row>
    <row r="47" spans="1:4" ht="15">
      <c r="A47" s="136">
        <f t="shared" si="1"/>
        <v>2016</v>
      </c>
      <c r="B47" s="136">
        <f t="shared" si="2"/>
        <v>2</v>
      </c>
      <c r="C47" s="263">
        <f t="shared" si="0"/>
        <v>42401</v>
      </c>
      <c r="D47" s="264">
        <v>227408323</v>
      </c>
    </row>
    <row r="48" spans="1:4" ht="15">
      <c r="A48" s="136">
        <f t="shared" si="1"/>
        <v>2016</v>
      </c>
      <c r="B48" s="136">
        <f t="shared" si="2"/>
        <v>3</v>
      </c>
      <c r="C48" s="263">
        <f t="shared" si="0"/>
        <v>42430</v>
      </c>
      <c r="D48" s="264">
        <v>239055858</v>
      </c>
    </row>
    <row r="49" spans="1:4" ht="15">
      <c r="A49" s="136">
        <f t="shared" si="1"/>
        <v>2016</v>
      </c>
      <c r="B49" s="136">
        <f t="shared" si="2"/>
        <v>4</v>
      </c>
      <c r="C49" s="263">
        <f t="shared" si="0"/>
        <v>42461</v>
      </c>
      <c r="D49" s="264">
        <v>275837968</v>
      </c>
    </row>
    <row r="50" spans="1:4" ht="15">
      <c r="A50" s="136">
        <f t="shared" si="1"/>
        <v>2016</v>
      </c>
      <c r="B50" s="136">
        <f t="shared" si="2"/>
        <v>5</v>
      </c>
      <c r="C50" s="263">
        <f t="shared" si="0"/>
        <v>42491</v>
      </c>
      <c r="D50" s="264">
        <v>265436022</v>
      </c>
    </row>
    <row r="51" spans="1:4" ht="15">
      <c r="A51" s="136">
        <f t="shared" si="1"/>
        <v>2016</v>
      </c>
      <c r="B51" s="136">
        <f t="shared" si="2"/>
        <v>6</v>
      </c>
      <c r="C51" s="263">
        <f t="shared" si="0"/>
        <v>42522</v>
      </c>
      <c r="D51" s="264">
        <v>267087218</v>
      </c>
    </row>
    <row r="52" spans="1:4" ht="15">
      <c r="A52" s="136">
        <f t="shared" si="1"/>
        <v>2016</v>
      </c>
      <c r="B52" s="136">
        <f t="shared" si="2"/>
        <v>7</v>
      </c>
      <c r="C52" s="263">
        <f t="shared" si="0"/>
        <v>42552</v>
      </c>
      <c r="D52" s="264">
        <v>288783347</v>
      </c>
    </row>
    <row r="53" spans="1:4" ht="15">
      <c r="A53" s="136">
        <f t="shared" si="1"/>
        <v>2016</v>
      </c>
      <c r="B53" s="136">
        <f t="shared" si="2"/>
        <v>8</v>
      </c>
      <c r="C53" s="263">
        <f t="shared" si="0"/>
        <v>42583</v>
      </c>
      <c r="D53" s="264">
        <v>274983280</v>
      </c>
    </row>
    <row r="54" spans="1:4" ht="15">
      <c r="A54" s="136">
        <f t="shared" si="1"/>
        <v>2016</v>
      </c>
      <c r="B54" s="136">
        <f t="shared" si="2"/>
        <v>9</v>
      </c>
      <c r="C54" s="263">
        <f t="shared" si="0"/>
        <v>42614</v>
      </c>
      <c r="D54" s="264">
        <v>277319376</v>
      </c>
    </row>
    <row r="55" spans="1:4" ht="15">
      <c r="A55" s="136">
        <f t="shared" si="1"/>
        <v>2016</v>
      </c>
      <c r="B55" s="136">
        <f t="shared" si="2"/>
        <v>10</v>
      </c>
      <c r="C55" s="263">
        <f t="shared" si="0"/>
        <v>42644</v>
      </c>
      <c r="D55" s="264">
        <v>276088299</v>
      </c>
    </row>
    <row r="56" spans="1:4" ht="15">
      <c r="A56" s="136">
        <f t="shared" si="1"/>
        <v>2016</v>
      </c>
      <c r="B56" s="136">
        <f t="shared" si="2"/>
        <v>11</v>
      </c>
      <c r="C56" s="263">
        <f t="shared" si="0"/>
        <v>42675</v>
      </c>
      <c r="D56" s="264">
        <v>266860163</v>
      </c>
    </row>
    <row r="57" spans="1:4" ht="15">
      <c r="A57" s="136">
        <f t="shared" si="1"/>
        <v>2016</v>
      </c>
      <c r="B57" s="136">
        <f t="shared" si="2"/>
        <v>12</v>
      </c>
      <c r="C57" s="263">
        <f t="shared" si="0"/>
        <v>42705</v>
      </c>
      <c r="D57" s="264">
        <v>273138771</v>
      </c>
    </row>
    <row r="58" spans="1:4" ht="15">
      <c r="A58" s="136">
        <f t="shared" si="1"/>
        <v>2017</v>
      </c>
      <c r="B58" s="136">
        <f t="shared" si="2"/>
        <v>1</v>
      </c>
      <c r="C58" s="263">
        <f t="shared" si="0"/>
        <v>42736</v>
      </c>
      <c r="D58" s="264">
        <v>324740551</v>
      </c>
    </row>
    <row r="59" spans="1:4" ht="15">
      <c r="A59" s="136">
        <f t="shared" si="1"/>
        <v>2017</v>
      </c>
      <c r="B59" s="136">
        <f t="shared" si="2"/>
        <v>2</v>
      </c>
      <c r="C59" s="263">
        <f t="shared" si="0"/>
        <v>42767</v>
      </c>
      <c r="D59" s="264">
        <v>243061611</v>
      </c>
    </row>
    <row r="60" spans="1:4" ht="15">
      <c r="A60" s="136">
        <f t="shared" si="1"/>
        <v>2017</v>
      </c>
      <c r="B60" s="136">
        <f t="shared" si="2"/>
        <v>3</v>
      </c>
      <c r="C60" s="263">
        <f t="shared" si="0"/>
        <v>42795</v>
      </c>
      <c r="D60" s="264">
        <v>252314350</v>
      </c>
    </row>
    <row r="61" spans="1:4" ht="15">
      <c r="A61" s="136">
        <f t="shared" si="1"/>
        <v>2017</v>
      </c>
      <c r="B61" s="136">
        <f t="shared" si="2"/>
        <v>4</v>
      </c>
      <c r="C61" s="263">
        <f t="shared" si="0"/>
        <v>42826</v>
      </c>
      <c r="D61" s="264">
        <v>303064250</v>
      </c>
    </row>
    <row r="62" spans="1:4" ht="15">
      <c r="A62" s="136">
        <f t="shared" si="1"/>
        <v>2017</v>
      </c>
      <c r="B62" s="136">
        <f t="shared" si="2"/>
        <v>5</v>
      </c>
      <c r="C62" s="263">
        <f t="shared" si="0"/>
        <v>42856</v>
      </c>
      <c r="D62" s="264">
        <v>292155029</v>
      </c>
    </row>
    <row r="63" spans="1:4" ht="15">
      <c r="A63" s="136">
        <f t="shared" si="1"/>
        <v>2017</v>
      </c>
      <c r="B63" s="136">
        <f t="shared" si="2"/>
        <v>6</v>
      </c>
      <c r="C63" s="263">
        <f t="shared" si="0"/>
        <v>42887</v>
      </c>
      <c r="D63" s="264">
        <v>293367737</v>
      </c>
    </row>
    <row r="64" spans="1:4" ht="15">
      <c r="A64" s="136">
        <f t="shared" si="1"/>
        <v>2017</v>
      </c>
      <c r="B64" s="136">
        <f t="shared" si="2"/>
        <v>7</v>
      </c>
      <c r="C64" s="263">
        <f t="shared" si="0"/>
        <v>42917</v>
      </c>
      <c r="D64" s="264">
        <v>309540074</v>
      </c>
    </row>
    <row r="65" spans="1:4" ht="15">
      <c r="A65" s="136">
        <f t="shared" si="1"/>
        <v>2017</v>
      </c>
      <c r="B65" s="136">
        <f t="shared" si="2"/>
        <v>8</v>
      </c>
      <c r="C65" s="263">
        <f t="shared" si="0"/>
        <v>42948</v>
      </c>
      <c r="D65" s="264">
        <v>294442246</v>
      </c>
    </row>
    <row r="66" spans="1:4" ht="15">
      <c r="A66" s="136">
        <f t="shared" si="1"/>
        <v>2017</v>
      </c>
      <c r="B66" s="136">
        <f t="shared" si="2"/>
        <v>9</v>
      </c>
      <c r="C66" s="263">
        <f t="shared" si="0"/>
        <v>42979</v>
      </c>
      <c r="D66" s="264">
        <v>296390054</v>
      </c>
    </row>
    <row r="67" spans="1:4" ht="15">
      <c r="A67" s="136">
        <f t="shared" si="1"/>
        <v>2017</v>
      </c>
      <c r="B67" s="136">
        <f t="shared" si="2"/>
        <v>10</v>
      </c>
      <c r="C67" s="263">
        <f t="shared" si="0"/>
        <v>43009</v>
      </c>
      <c r="D67" s="264">
        <v>302671522</v>
      </c>
    </row>
    <row r="68" spans="1:4" ht="15">
      <c r="A68" s="136">
        <f t="shared" si="1"/>
        <v>2017</v>
      </c>
      <c r="B68" s="136">
        <f t="shared" si="2"/>
        <v>11</v>
      </c>
      <c r="C68" s="263">
        <f t="shared" si="0"/>
        <v>43040</v>
      </c>
      <c r="D68" s="264">
        <v>288816531</v>
      </c>
    </row>
    <row r="69" spans="1:4" ht="15">
      <c r="A69" s="136">
        <f t="shared" si="1"/>
        <v>2017</v>
      </c>
      <c r="B69" s="136">
        <f t="shared" si="2"/>
        <v>12</v>
      </c>
      <c r="C69" s="263">
        <f t="shared" ref="C69:C89" si="3">DATE(A69,B69,1)</f>
        <v>43070</v>
      </c>
      <c r="D69" s="264">
        <v>293931759</v>
      </c>
    </row>
    <row r="70" spans="1:4" ht="15">
      <c r="A70" s="136">
        <f t="shared" ref="A70:A89" si="4">IF(B70=1,A69+1,A69)</f>
        <v>2018</v>
      </c>
      <c r="B70" s="136">
        <f t="shared" si="2"/>
        <v>1</v>
      </c>
      <c r="C70" s="263">
        <f t="shared" si="3"/>
        <v>43101</v>
      </c>
      <c r="D70" s="264">
        <v>348161206</v>
      </c>
    </row>
    <row r="71" spans="1:4" ht="15">
      <c r="A71" s="136">
        <f t="shared" si="4"/>
        <v>2018</v>
      </c>
      <c r="B71" s="136">
        <f t="shared" si="2"/>
        <v>2</v>
      </c>
      <c r="C71" s="263">
        <f t="shared" si="3"/>
        <v>43132</v>
      </c>
      <c r="D71" s="264">
        <v>265129175</v>
      </c>
    </row>
    <row r="72" spans="1:4" ht="15">
      <c r="A72" s="136">
        <f t="shared" si="4"/>
        <v>2018</v>
      </c>
      <c r="B72" s="136">
        <f t="shared" si="2"/>
        <v>3</v>
      </c>
      <c r="C72" s="263">
        <f t="shared" si="3"/>
        <v>43160</v>
      </c>
      <c r="D72" s="264">
        <v>263193339</v>
      </c>
    </row>
    <row r="73" spans="1:4" ht="15">
      <c r="A73" s="136">
        <f t="shared" si="4"/>
        <v>2018</v>
      </c>
      <c r="B73" s="136">
        <f t="shared" si="2"/>
        <v>4</v>
      </c>
      <c r="C73" s="263">
        <f t="shared" si="3"/>
        <v>43191</v>
      </c>
      <c r="D73" s="264">
        <v>317859239</v>
      </c>
    </row>
    <row r="74" spans="1:4" ht="15">
      <c r="A74" s="136">
        <f t="shared" si="4"/>
        <v>2018</v>
      </c>
      <c r="B74" s="136">
        <f t="shared" si="2"/>
        <v>5</v>
      </c>
      <c r="C74" s="263">
        <f t="shared" si="3"/>
        <v>43221</v>
      </c>
      <c r="D74" s="264">
        <v>298140846</v>
      </c>
    </row>
    <row r="75" spans="1:4" ht="15">
      <c r="A75" s="136">
        <f t="shared" si="4"/>
        <v>2018</v>
      </c>
      <c r="B75" s="136">
        <f t="shared" si="2"/>
        <v>6</v>
      </c>
      <c r="C75" s="263">
        <f t="shared" si="3"/>
        <v>43252</v>
      </c>
      <c r="D75" s="264">
        <v>308789740</v>
      </c>
    </row>
    <row r="76" spans="1:4" ht="15">
      <c r="A76" s="136">
        <f t="shared" si="4"/>
        <v>2018</v>
      </c>
      <c r="B76" s="136">
        <f t="shared" si="2"/>
        <v>7</v>
      </c>
      <c r="C76" s="263">
        <f t="shared" si="3"/>
        <v>43282</v>
      </c>
      <c r="D76" s="264">
        <v>335996214</v>
      </c>
    </row>
    <row r="77" spans="1:4" ht="15">
      <c r="A77" s="136">
        <f t="shared" si="4"/>
        <v>2018</v>
      </c>
      <c r="B77" s="136">
        <f t="shared" si="2"/>
        <v>8</v>
      </c>
      <c r="C77" s="263">
        <f t="shared" si="3"/>
        <v>43313</v>
      </c>
      <c r="D77" s="264">
        <v>311600658</v>
      </c>
    </row>
    <row r="78" spans="1:4" ht="15">
      <c r="A78" s="136">
        <f t="shared" si="4"/>
        <v>2018</v>
      </c>
      <c r="B78" s="136">
        <f t="shared" si="2"/>
        <v>9</v>
      </c>
      <c r="C78" s="263">
        <f t="shared" si="3"/>
        <v>43344</v>
      </c>
      <c r="D78" s="264">
        <v>318687436</v>
      </c>
    </row>
    <row r="79" spans="1:4" ht="15">
      <c r="A79" s="136">
        <f t="shared" si="4"/>
        <v>2018</v>
      </c>
      <c r="B79" s="136">
        <f t="shared" si="2"/>
        <v>10</v>
      </c>
      <c r="C79" s="263">
        <f t="shared" si="3"/>
        <v>43374</v>
      </c>
      <c r="D79" s="264">
        <v>315349199</v>
      </c>
    </row>
    <row r="80" spans="1:4" ht="15">
      <c r="A80" s="136">
        <f t="shared" si="4"/>
        <v>2018</v>
      </c>
      <c r="B80" s="136">
        <f t="shared" si="2"/>
        <v>11</v>
      </c>
      <c r="C80" s="263">
        <f t="shared" si="3"/>
        <v>43405</v>
      </c>
      <c r="D80" s="264">
        <v>319886526</v>
      </c>
    </row>
    <row r="81" spans="1:4" ht="15">
      <c r="A81" s="136">
        <f t="shared" si="4"/>
        <v>2018</v>
      </c>
      <c r="B81" s="136">
        <f t="shared" ref="B81:B89" si="5">B69</f>
        <v>12</v>
      </c>
      <c r="C81" s="263">
        <f t="shared" si="3"/>
        <v>43435</v>
      </c>
      <c r="D81" s="264">
        <v>320929122</v>
      </c>
    </row>
    <row r="82" spans="1:4" ht="15">
      <c r="A82" s="136">
        <f t="shared" si="4"/>
        <v>2019</v>
      </c>
      <c r="B82" s="136">
        <f t="shared" si="5"/>
        <v>1</v>
      </c>
      <c r="C82" s="263">
        <f t="shared" si="3"/>
        <v>43466</v>
      </c>
      <c r="D82" s="264">
        <v>358774889</v>
      </c>
    </row>
    <row r="83" spans="1:4" ht="15">
      <c r="A83" s="136">
        <f t="shared" si="4"/>
        <v>2019</v>
      </c>
      <c r="B83" s="136">
        <f t="shared" si="5"/>
        <v>2</v>
      </c>
      <c r="C83" s="263">
        <f t="shared" si="3"/>
        <v>43497</v>
      </c>
      <c r="D83" s="264">
        <v>282642216</v>
      </c>
    </row>
    <row r="84" spans="1:4" ht="15">
      <c r="A84" s="136">
        <f t="shared" si="4"/>
        <v>2019</v>
      </c>
      <c r="B84" s="136">
        <f t="shared" si="5"/>
        <v>3</v>
      </c>
      <c r="C84" s="263">
        <f t="shared" si="3"/>
        <v>43525</v>
      </c>
      <c r="D84" s="264">
        <v>291155399</v>
      </c>
    </row>
    <row r="85" spans="1:4" ht="15">
      <c r="A85" s="136">
        <f t="shared" si="4"/>
        <v>2019</v>
      </c>
      <c r="B85" s="136">
        <f t="shared" si="5"/>
        <v>4</v>
      </c>
      <c r="C85" s="263">
        <f t="shared" si="3"/>
        <v>43556</v>
      </c>
      <c r="D85" s="264">
        <v>346014087</v>
      </c>
    </row>
    <row r="86" spans="1:4" ht="15">
      <c r="A86" s="136">
        <f t="shared" si="4"/>
        <v>2019</v>
      </c>
      <c r="B86" s="136">
        <f t="shared" si="5"/>
        <v>5</v>
      </c>
      <c r="C86" s="263">
        <f t="shared" si="3"/>
        <v>43586</v>
      </c>
      <c r="D86" s="264">
        <v>332891039</v>
      </c>
    </row>
    <row r="87" spans="1:4" ht="15">
      <c r="A87" s="136">
        <f t="shared" si="4"/>
        <v>2019</v>
      </c>
      <c r="B87" s="136">
        <f t="shared" si="5"/>
        <v>6</v>
      </c>
      <c r="C87" s="263">
        <f t="shared" si="3"/>
        <v>43617</v>
      </c>
      <c r="D87" s="264">
        <v>338640468</v>
      </c>
    </row>
    <row r="88" spans="1:4" ht="15">
      <c r="A88" s="136">
        <f t="shared" si="4"/>
        <v>2019</v>
      </c>
      <c r="B88" s="136">
        <f t="shared" si="5"/>
        <v>7</v>
      </c>
      <c r="C88" s="263">
        <f t="shared" si="3"/>
        <v>43647</v>
      </c>
      <c r="D88" s="264">
        <v>357762017</v>
      </c>
    </row>
    <row r="89" spans="1:4" ht="15">
      <c r="A89" s="136">
        <f t="shared" si="4"/>
        <v>2019</v>
      </c>
      <c r="B89" s="136">
        <f t="shared" si="5"/>
        <v>8</v>
      </c>
      <c r="C89" s="263">
        <f t="shared" si="3"/>
        <v>43678</v>
      </c>
      <c r="D89" s="264">
        <v>339431686</v>
      </c>
    </row>
    <row r="90" spans="1:4" ht="15">
      <c r="D90" s="26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22</vt:i4>
      </vt:variant>
    </vt:vector>
  </HeadingPairs>
  <TitlesOfParts>
    <vt:vector size="40" baseType="lpstr">
      <vt:lpstr>Average</vt:lpstr>
      <vt:lpstr>Process Behav Template</vt:lpstr>
      <vt:lpstr>Fire Rates</vt:lpstr>
      <vt:lpstr>Scatterplot</vt:lpstr>
      <vt:lpstr>Scatterplot (2)</vt:lpstr>
      <vt:lpstr>TREND</vt:lpstr>
      <vt:lpstr>Forecasting 1</vt:lpstr>
      <vt:lpstr>Forecasting 2</vt:lpstr>
      <vt:lpstr>Durham Sales Tax</vt:lpstr>
      <vt:lpstr>Random</vt:lpstr>
      <vt:lpstr>CapitalBudget</vt:lpstr>
      <vt:lpstr>Recreation</vt:lpstr>
      <vt:lpstr>7.S2 Search&amp;Rescue</vt:lpstr>
      <vt:lpstr>Inflation</vt:lpstr>
      <vt:lpstr>Inflation (2)</vt:lpstr>
      <vt:lpstr>Inflation (3)</vt:lpstr>
      <vt:lpstr>Simple Sensitivity</vt:lpstr>
      <vt:lpstr>Budget-WhatIf</vt:lpstr>
      <vt:lpstr>BudgetCap</vt:lpstr>
      <vt:lpstr>Build?</vt:lpstr>
      <vt:lpstr>ExpGrowth</vt:lpstr>
      <vt:lpstr>FieldLimit</vt:lpstr>
      <vt:lpstr>Fields</vt:lpstr>
      <vt:lpstr>FieldTotal</vt:lpstr>
      <vt:lpstr>KidsPlaying</vt:lpstr>
      <vt:lpstr>Needed</vt:lpstr>
      <vt:lpstr>'Fire Rates'!Print_Area</vt:lpstr>
      <vt:lpstr>'Forecasting 1'!Print_Area</vt:lpstr>
      <vt:lpstr>'Forecasting 2'!Print_Area</vt:lpstr>
      <vt:lpstr>TREND!Print_Area</vt:lpstr>
      <vt:lpstr>ProjectsNeed</vt:lpstr>
      <vt:lpstr>ProjectsSelected</vt:lpstr>
      <vt:lpstr>RefLimit</vt:lpstr>
      <vt:lpstr>RefTotal</vt:lpstr>
      <vt:lpstr>RevGrowth</vt:lpstr>
      <vt:lpstr>TaxRate</vt:lpstr>
      <vt:lpstr>Team?</vt:lpstr>
      <vt:lpstr>TeamsNearby</vt:lpstr>
      <vt:lpstr>TotalCost</vt:lpstr>
      <vt:lpstr>TotalTeams</vt:lpstr>
    </vt:vector>
  </TitlesOfParts>
  <Company>UNC-CH School of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Roenigk, Dale</dc:creator>
  <cp:lastModifiedBy>Dale Roenigk</cp:lastModifiedBy>
  <cp:lastPrinted>2009-08-20T13:17:47Z</cp:lastPrinted>
  <dcterms:created xsi:type="dcterms:W3CDTF">2008-09-03T17:19:09Z</dcterms:created>
  <dcterms:modified xsi:type="dcterms:W3CDTF">2025-10-14T20:56:18Z</dcterms:modified>
</cp:coreProperties>
</file>